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5.xml" ContentType="application/vnd.openxmlformats-officedocument.spreadsheetml.comments+xml"/>
  <Override PartName="/xl/charts/chart2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comments6.xml" ContentType="application/vnd.openxmlformats-officedocument.spreadsheetml.comments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1.xml" ContentType="application/vnd.openxmlformats-officedocument.drawing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Thibault\Desktop\stage INSA Lyon\BEGES 2021\"/>
    </mc:Choice>
  </mc:AlternateContent>
  <xr:revisionPtr revIDLastSave="0" documentId="13_ncr:1_{B45E0DC1-4DF0-4AC6-BB75-A561084CDF62}" xr6:coauthVersionLast="47" xr6:coauthVersionMax="47" xr10:uidLastSave="{00000000-0000-0000-0000-000000000000}"/>
  <bookViews>
    <workbookView xWindow="-108" yWindow="-108" windowWidth="23256" windowHeight="12576" tabRatio="720" activeTab="5" xr2:uid="{00000000-000D-0000-FFFF-FFFF00000000}"/>
  </bookViews>
  <sheets>
    <sheet name="Resultats &amp; Analyse" sheetId="19" r:id="rId1"/>
    <sheet name="Données Energie" sheetId="28" r:id="rId2"/>
    <sheet name="Bilan Energie" sheetId="68" r:id="rId3"/>
    <sheet name="Bilan E" sheetId="26" state="hidden" r:id="rId4"/>
    <sheet name="Données Alimentaire" sheetId="35" r:id="rId5"/>
    <sheet name="Bilan Alimentaire" sheetId="71" r:id="rId6"/>
    <sheet name="Données Déchets" sheetId="73" r:id="rId7"/>
    <sheet name="Données Immobilisation" sheetId="29" r:id="rId8"/>
    <sheet name="Données Flotte Véhicule" sheetId="69" r:id="rId9"/>
    <sheet name="Données Batiments" sheetId="33" r:id="rId10"/>
    <sheet name="Données Aériens Personnel" sheetId="51" r:id="rId11"/>
    <sheet name="Déplacements Académiques" sheetId="74" r:id="rId12"/>
    <sheet name="Données domicile-travail" sheetId="62" r:id="rId13"/>
    <sheet name="Effectif INSA" sheetId="60" r:id="rId14"/>
  </sheets>
  <externalReferences>
    <externalReference r:id="rId15"/>
  </externalReferences>
  <definedNames>
    <definedName name="_BDD_déplacements_aériens">'Données Aériens Personnel'!$ZL$21:$ZP$217</definedName>
    <definedName name="_xlnm._FilterDatabase" localSheetId="2" hidden="1">'Bilan Energie'!$S$4:$AB$10</definedName>
    <definedName name="_xlnm._FilterDatabase" localSheetId="4">'Données Alimentaire'!$B$13:$R$46</definedName>
    <definedName name="_xlnm._FilterDatabase" localSheetId="12" hidden="1">'Données domicile-travail'!$B$27:$I$1662</definedName>
    <definedName name="_xlnm._FilterDatabase" localSheetId="1" hidden="1">'Données Energie'!$B$27:$R$421</definedName>
    <definedName name="AAA" localSheetId="9">#REF!</definedName>
    <definedName name="AAA">#REF!</definedName>
    <definedName name="cinqsix">#REF!</definedName>
    <definedName name="déplacement">#REF!</definedName>
    <definedName name="deuxtrois">#REF!</definedName>
    <definedName name="huitneuf">#REF!</definedName>
    <definedName name="i">#REF!</definedName>
    <definedName name="Liste1">[1]Feuil2!$A$2:$A$421</definedName>
    <definedName name="Liste2">'Données Aériens Personnel'!$ZM$21:$ZP$217</definedName>
    <definedName name="Liste3">'Données Aériens Personnel'!$ZM$21:$ZQ$217</definedName>
    <definedName name="Liste4">#REF!</definedName>
    <definedName name="neufdix">#REF!</definedName>
    <definedName name="plusdix">#REF!</definedName>
    <definedName name="Prems">#REF!</definedName>
    <definedName name="quatrecinq">#REF!</definedName>
    <definedName name="Sélection1000">#REF!</definedName>
    <definedName name="septhuit">#REF!</definedName>
    <definedName name="sixsept">#REF!</definedName>
    <definedName name="troisquatre">#REF!</definedName>
    <definedName name="undeux">#REF!</definedName>
    <definedName name="zéromille">#REF!</definedName>
    <definedName name="_xlnm.Print_Area" localSheetId="9">'Données Batiments'!$A$1:$BU$51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69" l="1" a="1"/>
  <c r="O7" i="69"/>
  <c r="P7" i="69" a="1"/>
  <c r="P7" i="69"/>
  <c r="Q7" i="69" a="1"/>
  <c r="Q7" i="69"/>
  <c r="R7" i="69" a="1"/>
  <c r="R7" i="69"/>
  <c r="S7" i="69" a="1"/>
  <c r="S7" i="69"/>
  <c r="T7" i="69" a="1"/>
  <c r="T7" i="69"/>
  <c r="U7" i="69" a="1"/>
  <c r="U7" i="69"/>
  <c r="V7" i="69" a="1"/>
  <c r="V7" i="69"/>
  <c r="W7" i="69" a="1"/>
  <c r="W7" i="69"/>
  <c r="X7" i="69" a="1"/>
  <c r="X7" i="69"/>
  <c r="N7" i="69" a="1"/>
  <c r="N7" i="69"/>
  <c r="Q246" i="28"/>
  <c r="Q251" i="28"/>
  <c r="Q252" i="28"/>
  <c r="N114" i="19"/>
  <c r="M246" i="28"/>
  <c r="M251" i="28"/>
  <c r="M252" i="28"/>
  <c r="M114" i="19"/>
  <c r="O114" i="19"/>
  <c r="Q260" i="28"/>
  <c r="Q261" i="28"/>
  <c r="Q262" i="28"/>
  <c r="Q263" i="28"/>
  <c r="Q264" i="28"/>
  <c r="Q265" i="28"/>
  <c r="Q266" i="28"/>
  <c r="Q267" i="28"/>
  <c r="Q268" i="28"/>
  <c r="M60" i="19"/>
  <c r="Q224" i="28"/>
  <c r="Q225" i="28"/>
  <c r="Q226" i="28"/>
  <c r="Q227" i="28"/>
  <c r="Q228" i="28"/>
  <c r="Q229" i="28"/>
  <c r="Q230" i="28"/>
  <c r="Q231" i="28"/>
  <c r="Q235" i="28"/>
  <c r="M62" i="19"/>
  <c r="M58" i="19"/>
  <c r="N115" i="19"/>
  <c r="M260" i="28"/>
  <c r="M261" i="28"/>
  <c r="M262" i="28"/>
  <c r="M263" i="28"/>
  <c r="M264" i="28"/>
  <c r="M265" i="28"/>
  <c r="M266" i="28"/>
  <c r="M267" i="28"/>
  <c r="M268" i="28"/>
  <c r="I60" i="19"/>
  <c r="M224" i="28"/>
  <c r="M225" i="28"/>
  <c r="M226" i="28"/>
  <c r="M227" i="28"/>
  <c r="M228" i="28"/>
  <c r="M229" i="28"/>
  <c r="M230" i="28"/>
  <c r="M231" i="28"/>
  <c r="M235" i="28"/>
  <c r="I62" i="19"/>
  <c r="I58" i="19"/>
  <c r="M115" i="19"/>
  <c r="O115" i="19"/>
  <c r="I114" i="19"/>
  <c r="H114" i="19"/>
  <c r="J114" i="19"/>
  <c r="I115" i="19"/>
  <c r="H115" i="19"/>
  <c r="J115" i="19"/>
  <c r="C10" i="19"/>
  <c r="R260" i="28"/>
  <c r="R261" i="28"/>
  <c r="R262" i="28"/>
  <c r="R263" i="28"/>
  <c r="R264" i="28"/>
  <c r="R265" i="28"/>
  <c r="R266" i="28"/>
  <c r="R267" i="28"/>
  <c r="R268" i="28"/>
  <c r="N60" i="19"/>
  <c r="C11" i="19"/>
  <c r="C12" i="19"/>
  <c r="C13" i="19"/>
  <c r="C14" i="19"/>
  <c r="C9" i="19"/>
  <c r="I54" i="19"/>
  <c r="C110" i="19"/>
  <c r="C114" i="19"/>
  <c r="M54" i="19"/>
  <c r="D110" i="19"/>
  <c r="D114" i="19"/>
  <c r="N59" i="19"/>
  <c r="N61" i="19"/>
  <c r="R224" i="28"/>
  <c r="R225" i="28"/>
  <c r="R226" i="28"/>
  <c r="R227" i="28"/>
  <c r="R228" i="28"/>
  <c r="R229" i="28"/>
  <c r="R230" i="28"/>
  <c r="R231" i="28"/>
  <c r="R235" i="28"/>
  <c r="N62" i="19"/>
  <c r="N63" i="19"/>
  <c r="N58" i="19"/>
  <c r="N54" i="19"/>
  <c r="N101" i="19"/>
  <c r="N65" i="19"/>
  <c r="X11" i="69"/>
  <c r="N66" i="19"/>
  <c r="N67" i="19"/>
  <c r="N68" i="19"/>
  <c r="N69" i="19"/>
  <c r="N70" i="19"/>
  <c r="N64" i="19"/>
  <c r="N102" i="19"/>
  <c r="M7" i="74"/>
  <c r="M8" i="74"/>
  <c r="M9" i="74"/>
  <c r="M10" i="74"/>
  <c r="M11" i="74"/>
  <c r="M12" i="74"/>
  <c r="M13" i="74"/>
  <c r="M14" i="74"/>
  <c r="M15" i="74"/>
  <c r="M16" i="74"/>
  <c r="M17" i="74"/>
  <c r="N72" i="19"/>
  <c r="N71" i="19"/>
  <c r="N103" i="19"/>
  <c r="N77" i="19"/>
  <c r="N78" i="19"/>
  <c r="N79" i="19"/>
  <c r="N80" i="19"/>
  <c r="N81" i="19"/>
  <c r="N76" i="19"/>
  <c r="N104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95" i="19"/>
  <c r="N82" i="19"/>
  <c r="N105" i="19"/>
  <c r="N106" i="19"/>
  <c r="G224" i="28"/>
  <c r="G225" i="28"/>
  <c r="G226" i="28"/>
  <c r="G227" i="28"/>
  <c r="G228" i="28"/>
  <c r="G229" i="28"/>
  <c r="G230" i="28"/>
  <c r="G231" i="28"/>
  <c r="G235" i="28"/>
  <c r="G236" i="28"/>
  <c r="H224" i="28"/>
  <c r="H225" i="28"/>
  <c r="H226" i="28"/>
  <c r="H227" i="28"/>
  <c r="H228" i="28"/>
  <c r="H229" i="28"/>
  <c r="H230" i="28"/>
  <c r="H231" i="28"/>
  <c r="H235" i="28"/>
  <c r="H236" i="28"/>
  <c r="J224" i="28"/>
  <c r="J225" i="28"/>
  <c r="J226" i="28"/>
  <c r="J227" i="28"/>
  <c r="J228" i="28"/>
  <c r="J229" i="28"/>
  <c r="J230" i="28"/>
  <c r="J231" i="28"/>
  <c r="J235" i="28"/>
  <c r="J236" i="28"/>
  <c r="K224" i="28"/>
  <c r="K225" i="28"/>
  <c r="K226" i="28"/>
  <c r="K227" i="28"/>
  <c r="K228" i="28"/>
  <c r="K229" i="28"/>
  <c r="K230" i="28"/>
  <c r="K231" i="28"/>
  <c r="K235" i="28"/>
  <c r="K236" i="28"/>
  <c r="L224" i="28"/>
  <c r="L225" i="28"/>
  <c r="L226" i="28"/>
  <c r="L227" i="28"/>
  <c r="L228" i="28"/>
  <c r="L229" i="28"/>
  <c r="L230" i="28"/>
  <c r="L231" i="28"/>
  <c r="L235" i="28"/>
  <c r="L236" i="28"/>
  <c r="M236" i="28"/>
  <c r="N224" i="28"/>
  <c r="N225" i="28"/>
  <c r="N226" i="28"/>
  <c r="N227" i="28"/>
  <c r="N228" i="28"/>
  <c r="N229" i="28"/>
  <c r="N230" i="28"/>
  <c r="N231" i="28"/>
  <c r="N235" i="28"/>
  <c r="N236" i="28"/>
  <c r="O224" i="28"/>
  <c r="O225" i="28"/>
  <c r="O226" i="28"/>
  <c r="O227" i="28"/>
  <c r="O228" i="28"/>
  <c r="O229" i="28"/>
  <c r="O230" i="28"/>
  <c r="O231" i="28"/>
  <c r="O235" i="28"/>
  <c r="O236" i="28"/>
  <c r="P224" i="28"/>
  <c r="P225" i="28"/>
  <c r="P226" i="28"/>
  <c r="P227" i="28"/>
  <c r="P228" i="28"/>
  <c r="P229" i="28"/>
  <c r="P230" i="28"/>
  <c r="P231" i="28"/>
  <c r="P235" i="28"/>
  <c r="P236" i="28"/>
  <c r="Q236" i="28"/>
  <c r="R236" i="28"/>
  <c r="I224" i="28"/>
  <c r="I225" i="28"/>
  <c r="I226" i="28"/>
  <c r="I227" i="28"/>
  <c r="I228" i="28"/>
  <c r="I229" i="28"/>
  <c r="I230" i="28"/>
  <c r="I231" i="28"/>
  <c r="I235" i="28"/>
  <c r="I236" i="28"/>
  <c r="G413" i="28"/>
  <c r="G414" i="28"/>
  <c r="G415" i="28"/>
  <c r="G416" i="28"/>
  <c r="H413" i="28"/>
  <c r="H414" i="28"/>
  <c r="H415" i="28"/>
  <c r="H416" i="28"/>
  <c r="I413" i="28"/>
  <c r="I414" i="28"/>
  <c r="I415" i="28"/>
  <c r="I416" i="28"/>
  <c r="J413" i="28"/>
  <c r="J414" i="28"/>
  <c r="J415" i="28"/>
  <c r="J416" i="28"/>
  <c r="K413" i="28"/>
  <c r="K414" i="28"/>
  <c r="K415" i="28"/>
  <c r="K416" i="28"/>
  <c r="L413" i="28"/>
  <c r="L414" i="28"/>
  <c r="L415" i="28"/>
  <c r="L416" i="28"/>
  <c r="M413" i="28"/>
  <c r="M414" i="28"/>
  <c r="M415" i="28"/>
  <c r="M416" i="28"/>
  <c r="N413" i="28"/>
  <c r="N414" i="28"/>
  <c r="N415" i="28"/>
  <c r="N416" i="28"/>
  <c r="O413" i="28"/>
  <c r="O414" i="28"/>
  <c r="O415" i="28"/>
  <c r="O416" i="28"/>
  <c r="P413" i="28"/>
  <c r="P414" i="28"/>
  <c r="P415" i="28"/>
  <c r="P416" i="28"/>
  <c r="Q413" i="28"/>
  <c r="Q414" i="28"/>
  <c r="Q415" i="28"/>
  <c r="Q416" i="28"/>
  <c r="R413" i="28"/>
  <c r="R414" i="28"/>
  <c r="R415" i="28"/>
  <c r="R416" i="28"/>
  <c r="N6" i="68" a="1"/>
  <c r="N6" i="68"/>
  <c r="Q232" i="28"/>
  <c r="Q233" i="28"/>
  <c r="Q234" i="28"/>
  <c r="Q189" i="28"/>
  <c r="Q190" i="28"/>
  <c r="Q191" i="28"/>
  <c r="Q192" i="28"/>
  <c r="Q193" i="28"/>
  <c r="Q194" i="28"/>
  <c r="Q195" i="28"/>
  <c r="Q196" i="28"/>
  <c r="Q197" i="28"/>
  <c r="Q198" i="28"/>
  <c r="Q199" i="28"/>
  <c r="Q200" i="28"/>
  <c r="Q201" i="28"/>
  <c r="Q202" i="28"/>
  <c r="Q203" i="28"/>
  <c r="Q204" i="28"/>
  <c r="Q205" i="28"/>
  <c r="Q206" i="28"/>
  <c r="Q207" i="28"/>
  <c r="Q208" i="28"/>
  <c r="Q209" i="28"/>
  <c r="Q210" i="28"/>
  <c r="Q211" i="28"/>
  <c r="Q212" i="28"/>
  <c r="Q213" i="28"/>
  <c r="Q214" i="28"/>
  <c r="Q215" i="28"/>
  <c r="Q216" i="28"/>
  <c r="Q217" i="28"/>
  <c r="Q218" i="28"/>
  <c r="Q219" i="28"/>
  <c r="Q220" i="28"/>
  <c r="Q221" i="28"/>
  <c r="Q222" i="28"/>
  <c r="Q223" i="28"/>
  <c r="C57" i="19"/>
  <c r="D57" i="19"/>
  <c r="E57" i="19"/>
  <c r="F57" i="19"/>
  <c r="G57" i="19"/>
  <c r="H57" i="19"/>
  <c r="I57" i="19"/>
  <c r="J57" i="19"/>
  <c r="K57" i="19"/>
  <c r="L57" i="19"/>
  <c r="M57" i="19"/>
  <c r="C59" i="19"/>
  <c r="G260" i="28"/>
  <c r="G261" i="28"/>
  <c r="G262" i="28"/>
  <c r="G263" i="28"/>
  <c r="G264" i="28"/>
  <c r="G265" i="28"/>
  <c r="G266" i="28"/>
  <c r="G267" i="28"/>
  <c r="G268" i="28"/>
  <c r="C60" i="19"/>
  <c r="C61" i="19"/>
  <c r="C62" i="19"/>
  <c r="C63" i="19"/>
  <c r="C58" i="19"/>
  <c r="D59" i="19"/>
  <c r="H260" i="28"/>
  <c r="H261" i="28"/>
  <c r="H262" i="28"/>
  <c r="H263" i="28"/>
  <c r="H264" i="28"/>
  <c r="H265" i="28"/>
  <c r="H266" i="28"/>
  <c r="H267" i="28"/>
  <c r="H268" i="28"/>
  <c r="D60" i="19"/>
  <c r="D61" i="19"/>
  <c r="D62" i="19"/>
  <c r="D63" i="19"/>
  <c r="D58" i="19"/>
  <c r="E59" i="19"/>
  <c r="I260" i="28"/>
  <c r="I261" i="28"/>
  <c r="I262" i="28"/>
  <c r="I263" i="28"/>
  <c r="I264" i="28"/>
  <c r="I265" i="28"/>
  <c r="I266" i="28"/>
  <c r="I267" i="28"/>
  <c r="I268" i="28"/>
  <c r="E60" i="19"/>
  <c r="E61" i="19"/>
  <c r="E62" i="19"/>
  <c r="E63" i="19"/>
  <c r="E58" i="19"/>
  <c r="F59" i="19"/>
  <c r="J260" i="28"/>
  <c r="J261" i="28"/>
  <c r="J262" i="28"/>
  <c r="J263" i="28"/>
  <c r="J264" i="28"/>
  <c r="J265" i="28"/>
  <c r="J266" i="28"/>
  <c r="J267" i="28"/>
  <c r="J268" i="28"/>
  <c r="F60" i="19"/>
  <c r="F61" i="19"/>
  <c r="F62" i="19"/>
  <c r="F63" i="19"/>
  <c r="F58" i="19"/>
  <c r="G59" i="19"/>
  <c r="K260" i="28"/>
  <c r="K261" i="28"/>
  <c r="K262" i="28"/>
  <c r="K263" i="28"/>
  <c r="K264" i="28"/>
  <c r="K265" i="28"/>
  <c r="K266" i="28"/>
  <c r="K267" i="28"/>
  <c r="K268" i="28"/>
  <c r="G60" i="19"/>
  <c r="G61" i="19"/>
  <c r="G62" i="19"/>
  <c r="G63" i="19"/>
  <c r="G58" i="19"/>
  <c r="H59" i="19"/>
  <c r="L260" i="28"/>
  <c r="L261" i="28"/>
  <c r="L262" i="28"/>
  <c r="L263" i="28"/>
  <c r="L264" i="28"/>
  <c r="L265" i="28"/>
  <c r="L266" i="28"/>
  <c r="L267" i="28"/>
  <c r="L268" i="28"/>
  <c r="H60" i="19"/>
  <c r="H61" i="19"/>
  <c r="H62" i="19"/>
  <c r="H63" i="19"/>
  <c r="H58" i="19"/>
  <c r="I59" i="19"/>
  <c r="I61" i="19"/>
  <c r="I63" i="19"/>
  <c r="J59" i="19"/>
  <c r="N260" i="28"/>
  <c r="N261" i="28"/>
  <c r="N262" i="28"/>
  <c r="N263" i="28"/>
  <c r="N264" i="28"/>
  <c r="N265" i="28"/>
  <c r="N266" i="28"/>
  <c r="N267" i="28"/>
  <c r="N268" i="28"/>
  <c r="J60" i="19"/>
  <c r="J61" i="19"/>
  <c r="J62" i="19"/>
  <c r="J63" i="19"/>
  <c r="J58" i="19"/>
  <c r="K59" i="19"/>
  <c r="O260" i="28"/>
  <c r="O261" i="28"/>
  <c r="O262" i="28"/>
  <c r="O263" i="28"/>
  <c r="O264" i="28"/>
  <c r="O265" i="28"/>
  <c r="O266" i="28"/>
  <c r="O267" i="28"/>
  <c r="O268" i="28"/>
  <c r="K60" i="19"/>
  <c r="K61" i="19"/>
  <c r="K62" i="19"/>
  <c r="K63" i="19"/>
  <c r="K58" i="19"/>
  <c r="L59" i="19"/>
  <c r="P260" i="28"/>
  <c r="P261" i="28"/>
  <c r="P262" i="28"/>
  <c r="P263" i="28"/>
  <c r="P264" i="28"/>
  <c r="P265" i="28"/>
  <c r="P266" i="28"/>
  <c r="P267" i="28"/>
  <c r="P268" i="28"/>
  <c r="L60" i="19"/>
  <c r="L61" i="19"/>
  <c r="L62" i="19"/>
  <c r="L63" i="19"/>
  <c r="L58" i="19"/>
  <c r="M59" i="19"/>
  <c r="M61" i="19"/>
  <c r="M63" i="19"/>
  <c r="C65" i="19"/>
  <c r="M67" i="19"/>
  <c r="C55" i="19"/>
  <c r="L55" i="19"/>
  <c r="M55" i="19"/>
  <c r="C67" i="19"/>
  <c r="M68" i="19"/>
  <c r="C54" i="19"/>
  <c r="C68" i="19"/>
  <c r="M69" i="19"/>
  <c r="C69" i="19"/>
  <c r="M70" i="19"/>
  <c r="C70" i="19"/>
  <c r="C64" i="19"/>
  <c r="D65" i="19"/>
  <c r="N11" i="69"/>
  <c r="D66" i="19"/>
  <c r="D55" i="19"/>
  <c r="D67" i="19"/>
  <c r="D54" i="19"/>
  <c r="D68" i="19"/>
  <c r="D69" i="19"/>
  <c r="D70" i="19"/>
  <c r="D64" i="19"/>
  <c r="E65" i="19"/>
  <c r="O11" i="69"/>
  <c r="E66" i="19"/>
  <c r="E55" i="19"/>
  <c r="E67" i="19"/>
  <c r="E54" i="19"/>
  <c r="E68" i="19"/>
  <c r="E69" i="19"/>
  <c r="E70" i="19"/>
  <c r="E64" i="19"/>
  <c r="F65" i="19"/>
  <c r="P11" i="69"/>
  <c r="F66" i="19"/>
  <c r="F55" i="19"/>
  <c r="F67" i="19"/>
  <c r="F54" i="19"/>
  <c r="F68" i="19"/>
  <c r="F69" i="19"/>
  <c r="F70" i="19"/>
  <c r="F64" i="19"/>
  <c r="G65" i="19"/>
  <c r="Q11" i="69"/>
  <c r="G66" i="19"/>
  <c r="G55" i="19"/>
  <c r="G67" i="19"/>
  <c r="G54" i="19"/>
  <c r="G68" i="19"/>
  <c r="G69" i="19"/>
  <c r="G70" i="19"/>
  <c r="G64" i="19"/>
  <c r="H65" i="19"/>
  <c r="R11" i="69"/>
  <c r="H66" i="19"/>
  <c r="H55" i="19"/>
  <c r="H67" i="19"/>
  <c r="H54" i="19"/>
  <c r="H68" i="19"/>
  <c r="H69" i="19"/>
  <c r="H70" i="19"/>
  <c r="H64" i="19"/>
  <c r="I65" i="19"/>
  <c r="S11" i="69"/>
  <c r="I66" i="19"/>
  <c r="I55" i="19"/>
  <c r="I67" i="19"/>
  <c r="I68" i="19"/>
  <c r="I69" i="19"/>
  <c r="I70" i="19"/>
  <c r="I64" i="19"/>
  <c r="J65" i="19"/>
  <c r="T11" i="69"/>
  <c r="J66" i="19"/>
  <c r="J55" i="19"/>
  <c r="J67" i="19"/>
  <c r="J54" i="19"/>
  <c r="J68" i="19"/>
  <c r="J69" i="19"/>
  <c r="J70" i="19"/>
  <c r="J64" i="19"/>
  <c r="K65" i="19"/>
  <c r="U11" i="69"/>
  <c r="K66" i="19"/>
  <c r="K55" i="19"/>
  <c r="K67" i="19"/>
  <c r="K54" i="19"/>
  <c r="K68" i="19"/>
  <c r="K69" i="19"/>
  <c r="K70" i="19"/>
  <c r="K64" i="19"/>
  <c r="L65" i="19"/>
  <c r="V11" i="69"/>
  <c r="L66" i="19"/>
  <c r="L67" i="19"/>
  <c r="L54" i="19"/>
  <c r="L68" i="19"/>
  <c r="L69" i="19"/>
  <c r="L70" i="19"/>
  <c r="L64" i="19"/>
  <c r="M65" i="19"/>
  <c r="W11" i="69"/>
  <c r="M66" i="19"/>
  <c r="M64" i="19"/>
  <c r="M72" i="19"/>
  <c r="C72" i="19"/>
  <c r="M73" i="19"/>
  <c r="C73" i="19"/>
  <c r="L74" i="19"/>
  <c r="C74" i="19"/>
  <c r="L75" i="19"/>
  <c r="C75" i="19"/>
  <c r="C71" i="19"/>
  <c r="D72" i="19"/>
  <c r="D73" i="19"/>
  <c r="D74" i="19"/>
  <c r="D75" i="19"/>
  <c r="D71" i="19"/>
  <c r="E72" i="19"/>
  <c r="E73" i="19"/>
  <c r="E74" i="19"/>
  <c r="E75" i="19"/>
  <c r="E71" i="19"/>
  <c r="F72" i="19"/>
  <c r="F73" i="19"/>
  <c r="F74" i="19"/>
  <c r="F75" i="19"/>
  <c r="F71" i="19"/>
  <c r="G72" i="19"/>
  <c r="G73" i="19"/>
  <c r="G74" i="19"/>
  <c r="G75" i="19"/>
  <c r="G71" i="19"/>
  <c r="H72" i="19"/>
  <c r="H73" i="19"/>
  <c r="H74" i="19"/>
  <c r="H75" i="19"/>
  <c r="H71" i="19"/>
  <c r="I72" i="19"/>
  <c r="I73" i="19"/>
  <c r="I74" i="19"/>
  <c r="I75" i="19"/>
  <c r="I71" i="19"/>
  <c r="J72" i="19"/>
  <c r="J73" i="19"/>
  <c r="J74" i="19"/>
  <c r="J75" i="19"/>
  <c r="J71" i="19"/>
  <c r="K72" i="19"/>
  <c r="K73" i="19"/>
  <c r="K74" i="19"/>
  <c r="K75" i="19"/>
  <c r="K71" i="19"/>
  <c r="L72" i="19"/>
  <c r="L73" i="19"/>
  <c r="L71" i="19"/>
  <c r="M74" i="19"/>
  <c r="M75" i="19"/>
  <c r="M71" i="19"/>
  <c r="H77" i="19"/>
  <c r="H78" i="19"/>
  <c r="H79" i="19"/>
  <c r="H80" i="19"/>
  <c r="H81" i="19"/>
  <c r="H76" i="19"/>
  <c r="G76" i="19"/>
  <c r="F76" i="19"/>
  <c r="E76" i="19"/>
  <c r="D76" i="19"/>
  <c r="C76" i="19"/>
  <c r="I77" i="19"/>
  <c r="I78" i="19"/>
  <c r="I79" i="19"/>
  <c r="I80" i="19"/>
  <c r="I81" i="19"/>
  <c r="I76" i="19"/>
  <c r="J77" i="19"/>
  <c r="J78" i="19"/>
  <c r="J79" i="19"/>
  <c r="J80" i="19"/>
  <c r="J81" i="19"/>
  <c r="J76" i="19"/>
  <c r="K77" i="19"/>
  <c r="K78" i="19"/>
  <c r="K79" i="19"/>
  <c r="K80" i="19"/>
  <c r="K81" i="19"/>
  <c r="K76" i="19"/>
  <c r="L77" i="19"/>
  <c r="L78" i="19"/>
  <c r="L79" i="19"/>
  <c r="L80" i="19"/>
  <c r="L81" i="19"/>
  <c r="L76" i="19"/>
  <c r="M77" i="19"/>
  <c r="M78" i="19"/>
  <c r="M79" i="19"/>
  <c r="M80" i="19"/>
  <c r="M81" i="19"/>
  <c r="M76" i="19"/>
  <c r="C77" i="19"/>
  <c r="D77" i="19"/>
  <c r="E77" i="19"/>
  <c r="F77" i="19"/>
  <c r="G77" i="19"/>
  <c r="C78" i="19"/>
  <c r="D78" i="19"/>
  <c r="E78" i="19"/>
  <c r="F78" i="19"/>
  <c r="G78" i="19"/>
  <c r="C79" i="19"/>
  <c r="D79" i="19"/>
  <c r="E79" i="19"/>
  <c r="F79" i="19"/>
  <c r="G79" i="19"/>
  <c r="C80" i="19"/>
  <c r="D80" i="19"/>
  <c r="E80" i="19"/>
  <c r="F80" i="19"/>
  <c r="G80" i="19"/>
  <c r="C81" i="19"/>
  <c r="D81" i="19"/>
  <c r="E81" i="19"/>
  <c r="F81" i="19"/>
  <c r="G81" i="19"/>
  <c r="C82" i="19"/>
  <c r="D82" i="19"/>
  <c r="E82" i="19"/>
  <c r="F82" i="19"/>
  <c r="G82" i="19"/>
  <c r="H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82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Q364" i="28"/>
  <c r="Q365" i="28"/>
  <c r="Q366" i="28"/>
  <c r="Q367" i="28"/>
  <c r="Q368" i="28"/>
  <c r="Q369" i="28"/>
  <c r="Q370" i="28"/>
  <c r="Q371" i="28"/>
  <c r="Q372" i="28"/>
  <c r="Q373" i="28"/>
  <c r="Q374" i="28"/>
  <c r="Q375" i="28"/>
  <c r="Q376" i="28"/>
  <c r="Q283" i="28"/>
  <c r="Q377" i="28"/>
  <c r="Q378" i="28"/>
  <c r="Q379" i="28"/>
  <c r="Q380" i="28"/>
  <c r="Q381" i="28"/>
  <c r="Q382" i="28"/>
  <c r="Q383" i="28"/>
  <c r="Q384" i="28"/>
  <c r="Q385" i="28"/>
  <c r="Q386" i="28"/>
  <c r="Q387" i="28"/>
  <c r="Q388" i="28"/>
  <c r="Q389" i="28"/>
  <c r="Q390" i="28"/>
  <c r="Q391" i="28"/>
  <c r="Q392" i="28"/>
  <c r="Q393" i="28"/>
  <c r="Q394" i="28"/>
  <c r="Q395" i="28"/>
  <c r="Q396" i="28"/>
  <c r="Q397" i="28"/>
  <c r="Q398" i="28"/>
  <c r="Q399" i="28"/>
  <c r="Q314" i="28"/>
  <c r="Q406" i="28"/>
  <c r="Q407" i="28"/>
  <c r="Q408" i="28"/>
  <c r="Q253" i="28"/>
  <c r="Q254" i="28"/>
  <c r="Q255" i="28"/>
  <c r="Q256" i="28"/>
  <c r="Q257" i="28"/>
  <c r="Q258" i="28"/>
  <c r="Q259" i="28"/>
  <c r="Q85" i="28"/>
  <c r="Q86" i="28"/>
  <c r="Q87" i="28"/>
  <c r="Q88" i="28"/>
  <c r="Q89" i="28"/>
  <c r="Q90" i="28"/>
  <c r="Q91" i="28"/>
  <c r="Q92" i="28"/>
  <c r="Q93" i="28"/>
  <c r="Q94" i="28"/>
  <c r="Q95" i="28"/>
  <c r="Q96" i="28"/>
  <c r="Q97" i="28"/>
  <c r="Q98" i="28"/>
  <c r="Q99" i="28"/>
  <c r="Q100" i="28"/>
  <c r="Q101" i="28"/>
  <c r="Q102" i="28"/>
  <c r="Q103" i="28"/>
  <c r="Q104" i="28"/>
  <c r="Q105" i="28"/>
  <c r="Q106" i="28"/>
  <c r="Q107" i="28"/>
  <c r="Q108" i="28"/>
  <c r="Q109" i="28"/>
  <c r="Q110" i="28"/>
  <c r="Q111" i="28"/>
  <c r="Q112" i="28"/>
  <c r="Q113" i="28"/>
  <c r="Q114" i="28"/>
  <c r="Q115" i="28"/>
  <c r="Q116" i="28"/>
  <c r="Q117" i="28"/>
  <c r="Q118" i="28"/>
  <c r="Q119" i="28"/>
  <c r="Q120" i="28"/>
  <c r="Q121" i="28"/>
  <c r="Q122" i="28"/>
  <c r="Q123" i="28"/>
  <c r="Q124" i="28"/>
  <c r="Q125" i="28"/>
  <c r="Q126" i="28"/>
  <c r="Q127" i="28"/>
  <c r="Q128" i="28"/>
  <c r="Q129" i="28"/>
  <c r="Q130" i="28"/>
  <c r="Q131" i="28"/>
  <c r="Q132" i="28"/>
  <c r="Q133" i="28"/>
  <c r="Q135" i="28"/>
  <c r="Q136" i="28"/>
  <c r="Q137" i="28"/>
  <c r="Q138" i="28"/>
  <c r="Q139" i="28"/>
  <c r="Q140" i="28"/>
  <c r="C16" i="19"/>
  <c r="C17" i="19"/>
  <c r="C18" i="19"/>
  <c r="C19" i="19"/>
  <c r="C20" i="19"/>
  <c r="C21" i="19"/>
  <c r="C15" i="19"/>
  <c r="C23" i="19"/>
  <c r="C24" i="19"/>
  <c r="C25" i="19"/>
  <c r="C26" i="19"/>
  <c r="C22" i="19"/>
  <c r="C28" i="19"/>
  <c r="C29" i="19"/>
  <c r="C30" i="19"/>
  <c r="C31" i="19"/>
  <c r="C32" i="19"/>
  <c r="C27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33" i="19"/>
  <c r="C48" i="19"/>
  <c r="D13" i="19"/>
  <c r="G364" i="28"/>
  <c r="G365" i="28"/>
  <c r="G366" i="28"/>
  <c r="G367" i="28"/>
  <c r="G368" i="28"/>
  <c r="G369" i="28"/>
  <c r="G370" i="28"/>
  <c r="G371" i="28"/>
  <c r="G372" i="28"/>
  <c r="G373" i="28"/>
  <c r="G374" i="28"/>
  <c r="G375" i="28"/>
  <c r="G376" i="28"/>
  <c r="G377" i="28"/>
  <c r="G378" i="28"/>
  <c r="G379" i="28"/>
  <c r="G380" i="28"/>
  <c r="G381" i="28"/>
  <c r="G382" i="28"/>
  <c r="G383" i="28"/>
  <c r="G384" i="28"/>
  <c r="G385" i="28"/>
  <c r="G386" i="28"/>
  <c r="G387" i="28"/>
  <c r="G388" i="28"/>
  <c r="G389" i="28"/>
  <c r="G390" i="28"/>
  <c r="G391" i="28"/>
  <c r="G392" i="28"/>
  <c r="G393" i="28"/>
  <c r="G394" i="28"/>
  <c r="G395" i="28"/>
  <c r="G396" i="28"/>
  <c r="G397" i="28"/>
  <c r="G398" i="28"/>
  <c r="G399" i="28"/>
  <c r="G400" i="28"/>
  <c r="G401" i="28"/>
  <c r="G402" i="28"/>
  <c r="G403" i="28"/>
  <c r="G404" i="28"/>
  <c r="G405" i="28"/>
  <c r="G406" i="28"/>
  <c r="G407" i="28"/>
  <c r="G408" i="28"/>
  <c r="H364" i="28"/>
  <c r="H365" i="28"/>
  <c r="H366" i="28"/>
  <c r="H367" i="28"/>
  <c r="H368" i="28"/>
  <c r="H369" i="28"/>
  <c r="H370" i="28"/>
  <c r="H371" i="28"/>
  <c r="H372" i="28"/>
  <c r="H373" i="28"/>
  <c r="H374" i="28"/>
  <c r="H375" i="28"/>
  <c r="H376" i="28"/>
  <c r="H377" i="28"/>
  <c r="H378" i="28"/>
  <c r="H379" i="28"/>
  <c r="H380" i="28"/>
  <c r="H381" i="28"/>
  <c r="H382" i="28"/>
  <c r="H383" i="28"/>
  <c r="H384" i="28"/>
  <c r="H385" i="28"/>
  <c r="H386" i="28"/>
  <c r="H387" i="28"/>
  <c r="H388" i="28"/>
  <c r="H389" i="28"/>
  <c r="H390" i="28"/>
  <c r="H391" i="28"/>
  <c r="H392" i="28"/>
  <c r="H393" i="28"/>
  <c r="H394" i="28"/>
  <c r="H395" i="28"/>
  <c r="H396" i="28"/>
  <c r="H397" i="28"/>
  <c r="H398" i="28"/>
  <c r="H399" i="28"/>
  <c r="H400" i="28"/>
  <c r="H401" i="28"/>
  <c r="H402" i="28"/>
  <c r="H403" i="28"/>
  <c r="H404" i="28"/>
  <c r="H405" i="28"/>
  <c r="H406" i="28"/>
  <c r="H407" i="28"/>
  <c r="H408" i="28"/>
  <c r="I364" i="28"/>
  <c r="I365" i="28"/>
  <c r="I366" i="28"/>
  <c r="I367" i="28"/>
  <c r="I368" i="28"/>
  <c r="I369" i="28"/>
  <c r="I370" i="28"/>
  <c r="I371" i="28"/>
  <c r="I372" i="28"/>
  <c r="I373" i="28"/>
  <c r="I374" i="28"/>
  <c r="I375" i="28"/>
  <c r="I376" i="28"/>
  <c r="I377" i="28"/>
  <c r="I378" i="28"/>
  <c r="I379" i="28"/>
  <c r="I380" i="28"/>
  <c r="I381" i="28"/>
  <c r="I382" i="28"/>
  <c r="I383" i="28"/>
  <c r="I384" i="28"/>
  <c r="I385" i="28"/>
  <c r="I386" i="28"/>
  <c r="I387" i="28"/>
  <c r="I388" i="28"/>
  <c r="I389" i="28"/>
  <c r="I390" i="28"/>
  <c r="I391" i="28"/>
  <c r="I392" i="28"/>
  <c r="I393" i="28"/>
  <c r="I394" i="28"/>
  <c r="I395" i="28"/>
  <c r="I396" i="28"/>
  <c r="I397" i="28"/>
  <c r="I398" i="28"/>
  <c r="I399" i="28"/>
  <c r="I400" i="28"/>
  <c r="I401" i="28"/>
  <c r="I402" i="28"/>
  <c r="I403" i="28"/>
  <c r="I404" i="28"/>
  <c r="I405" i="28"/>
  <c r="I406" i="28"/>
  <c r="I407" i="28"/>
  <c r="I408" i="28"/>
  <c r="J364" i="28"/>
  <c r="J365" i="28"/>
  <c r="J366" i="28"/>
  <c r="J367" i="28"/>
  <c r="J368" i="28"/>
  <c r="J369" i="28"/>
  <c r="J370" i="28"/>
  <c r="J371" i="28"/>
  <c r="J372" i="28"/>
  <c r="J373" i="28"/>
  <c r="J374" i="28"/>
  <c r="J375" i="28"/>
  <c r="J376" i="28"/>
  <c r="J377" i="28"/>
  <c r="J378" i="28"/>
  <c r="J379" i="28"/>
  <c r="J380" i="28"/>
  <c r="J381" i="28"/>
  <c r="J382" i="28"/>
  <c r="J383" i="28"/>
  <c r="J384" i="28"/>
  <c r="J385" i="28"/>
  <c r="J386" i="28"/>
  <c r="J387" i="28"/>
  <c r="J388" i="28"/>
  <c r="J389" i="28"/>
  <c r="J390" i="28"/>
  <c r="J391" i="28"/>
  <c r="J392" i="28"/>
  <c r="J393" i="28"/>
  <c r="J394" i="28"/>
  <c r="J395" i="28"/>
  <c r="J396" i="28"/>
  <c r="J397" i="28"/>
  <c r="J398" i="28"/>
  <c r="J399" i="28"/>
  <c r="J400" i="28"/>
  <c r="J401" i="28"/>
  <c r="J402" i="28"/>
  <c r="J403" i="28"/>
  <c r="J404" i="28"/>
  <c r="J405" i="28"/>
  <c r="J406" i="28"/>
  <c r="J407" i="28"/>
  <c r="J408" i="28"/>
  <c r="K364" i="28"/>
  <c r="K365" i="28"/>
  <c r="K366" i="28"/>
  <c r="K367" i="28"/>
  <c r="K368" i="28"/>
  <c r="K369" i="28"/>
  <c r="K370" i="28"/>
  <c r="K371" i="28"/>
  <c r="K372" i="28"/>
  <c r="K373" i="28"/>
  <c r="K374" i="28"/>
  <c r="K375" i="28"/>
  <c r="K376" i="28"/>
  <c r="K377" i="28"/>
  <c r="K378" i="28"/>
  <c r="K379" i="28"/>
  <c r="K380" i="28"/>
  <c r="K381" i="28"/>
  <c r="K382" i="28"/>
  <c r="K383" i="28"/>
  <c r="K384" i="28"/>
  <c r="K385" i="28"/>
  <c r="K386" i="28"/>
  <c r="K387" i="28"/>
  <c r="K388" i="28"/>
  <c r="K389" i="28"/>
  <c r="K390" i="28"/>
  <c r="K391" i="28"/>
  <c r="K392" i="28"/>
  <c r="K393" i="28"/>
  <c r="K394" i="28"/>
  <c r="K395" i="28"/>
  <c r="K396" i="28"/>
  <c r="K397" i="28"/>
  <c r="K398" i="28"/>
  <c r="K399" i="28"/>
  <c r="K400" i="28"/>
  <c r="K401" i="28"/>
  <c r="K402" i="28"/>
  <c r="K403" i="28"/>
  <c r="K404" i="28"/>
  <c r="K405" i="28"/>
  <c r="K406" i="28"/>
  <c r="K407" i="28"/>
  <c r="K408" i="28"/>
  <c r="L364" i="28"/>
  <c r="L365" i="28"/>
  <c r="L366" i="28"/>
  <c r="L367" i="28"/>
  <c r="L368" i="28"/>
  <c r="L369" i="28"/>
  <c r="L370" i="28"/>
  <c r="L371" i="28"/>
  <c r="L372" i="28"/>
  <c r="L373" i="28"/>
  <c r="L374" i="28"/>
  <c r="L375" i="28"/>
  <c r="L376" i="28"/>
  <c r="L377" i="28"/>
  <c r="L378" i="28"/>
  <c r="L379" i="28"/>
  <c r="L380" i="28"/>
  <c r="L381" i="28"/>
  <c r="L382" i="28"/>
  <c r="L383" i="28"/>
  <c r="L384" i="28"/>
  <c r="L385" i="28"/>
  <c r="L386" i="28"/>
  <c r="L387" i="28"/>
  <c r="L388" i="28"/>
  <c r="L389" i="28"/>
  <c r="L390" i="28"/>
  <c r="L391" i="28"/>
  <c r="L392" i="28"/>
  <c r="L393" i="28"/>
  <c r="L394" i="28"/>
  <c r="L395" i="28"/>
  <c r="L396" i="28"/>
  <c r="L397" i="28"/>
  <c r="L398" i="28"/>
  <c r="L399" i="28"/>
  <c r="L400" i="28"/>
  <c r="L401" i="28"/>
  <c r="L402" i="28"/>
  <c r="L403" i="28"/>
  <c r="L404" i="28"/>
  <c r="L405" i="28"/>
  <c r="L406" i="28"/>
  <c r="L407" i="28"/>
  <c r="L408" i="28"/>
  <c r="M364" i="28"/>
  <c r="M365" i="28"/>
  <c r="M366" i="28"/>
  <c r="M367" i="28"/>
  <c r="M368" i="28"/>
  <c r="M369" i="28"/>
  <c r="M370" i="28"/>
  <c r="M371" i="28"/>
  <c r="M372" i="28"/>
  <c r="M373" i="28"/>
  <c r="M374" i="28"/>
  <c r="M375" i="28"/>
  <c r="M376" i="28"/>
  <c r="M377" i="28"/>
  <c r="M378" i="28"/>
  <c r="M379" i="28"/>
  <c r="M380" i="28"/>
  <c r="M381" i="28"/>
  <c r="M382" i="28"/>
  <c r="M383" i="28"/>
  <c r="M384" i="28"/>
  <c r="M385" i="28"/>
  <c r="M386" i="28"/>
  <c r="M387" i="28"/>
  <c r="M388" i="28"/>
  <c r="M389" i="28"/>
  <c r="M390" i="28"/>
  <c r="M391" i="28"/>
  <c r="M392" i="28"/>
  <c r="M393" i="28"/>
  <c r="M394" i="28"/>
  <c r="M395" i="28"/>
  <c r="M396" i="28"/>
  <c r="M397" i="28"/>
  <c r="M398" i="28"/>
  <c r="M399" i="28"/>
  <c r="M400" i="28"/>
  <c r="M401" i="28"/>
  <c r="M402" i="28"/>
  <c r="M403" i="28"/>
  <c r="M404" i="28"/>
  <c r="M405" i="28"/>
  <c r="M406" i="28"/>
  <c r="M407" i="28"/>
  <c r="M408" i="28"/>
  <c r="N364" i="28"/>
  <c r="N365" i="28"/>
  <c r="N366" i="28"/>
  <c r="N367" i="28"/>
  <c r="N368" i="28"/>
  <c r="N369" i="28"/>
  <c r="N370" i="28"/>
  <c r="N371" i="28"/>
  <c r="N372" i="28"/>
  <c r="N373" i="28"/>
  <c r="N374" i="28"/>
  <c r="N375" i="28"/>
  <c r="N376" i="28"/>
  <c r="N377" i="28"/>
  <c r="N378" i="28"/>
  <c r="N379" i="28"/>
  <c r="N380" i="28"/>
  <c r="N381" i="28"/>
  <c r="N382" i="28"/>
  <c r="N383" i="28"/>
  <c r="N384" i="28"/>
  <c r="N385" i="28"/>
  <c r="N386" i="28"/>
  <c r="N387" i="28"/>
  <c r="N388" i="28"/>
  <c r="N389" i="28"/>
  <c r="N390" i="28"/>
  <c r="N391" i="28"/>
  <c r="N392" i="28"/>
  <c r="N393" i="28"/>
  <c r="N394" i="28"/>
  <c r="N395" i="28"/>
  <c r="N396" i="28"/>
  <c r="N397" i="28"/>
  <c r="N398" i="28"/>
  <c r="N399" i="28"/>
  <c r="N400" i="28"/>
  <c r="N401" i="28"/>
  <c r="N402" i="28"/>
  <c r="N403" i="28"/>
  <c r="N404" i="28"/>
  <c r="N405" i="28"/>
  <c r="N406" i="28"/>
  <c r="N407" i="28"/>
  <c r="N408" i="28"/>
  <c r="O364" i="28"/>
  <c r="O365" i="28"/>
  <c r="O366" i="28"/>
  <c r="O367" i="28"/>
  <c r="O368" i="28"/>
  <c r="O369" i="28"/>
  <c r="O370" i="28"/>
  <c r="O371" i="28"/>
  <c r="O372" i="28"/>
  <c r="O373" i="28"/>
  <c r="O374" i="28"/>
  <c r="O375" i="28"/>
  <c r="O376" i="28"/>
  <c r="O377" i="28"/>
  <c r="O378" i="28"/>
  <c r="O379" i="28"/>
  <c r="O380" i="28"/>
  <c r="O381" i="28"/>
  <c r="O382" i="28"/>
  <c r="O383" i="28"/>
  <c r="O384" i="28"/>
  <c r="O385" i="28"/>
  <c r="O386" i="28"/>
  <c r="O387" i="28"/>
  <c r="O388" i="28"/>
  <c r="O389" i="28"/>
  <c r="O390" i="28"/>
  <c r="O391" i="28"/>
  <c r="O392" i="28"/>
  <c r="O393" i="28"/>
  <c r="O394" i="28"/>
  <c r="O395" i="28"/>
  <c r="O396" i="28"/>
  <c r="O397" i="28"/>
  <c r="O398" i="28"/>
  <c r="O399" i="28"/>
  <c r="O406" i="28"/>
  <c r="O407" i="28"/>
  <c r="O408" i="28"/>
  <c r="P364" i="28"/>
  <c r="P365" i="28"/>
  <c r="P366" i="28"/>
  <c r="P367" i="28"/>
  <c r="P368" i="28"/>
  <c r="P369" i="28"/>
  <c r="P370" i="28"/>
  <c r="P371" i="28"/>
  <c r="P372" i="28"/>
  <c r="P373" i="28"/>
  <c r="P374" i="28"/>
  <c r="P375" i="28"/>
  <c r="P376" i="28"/>
  <c r="P377" i="28"/>
  <c r="P378" i="28"/>
  <c r="P379" i="28"/>
  <c r="P380" i="28"/>
  <c r="P381" i="28"/>
  <c r="P382" i="28"/>
  <c r="P383" i="28"/>
  <c r="P384" i="28"/>
  <c r="P385" i="28"/>
  <c r="P386" i="28"/>
  <c r="P387" i="28"/>
  <c r="P388" i="28"/>
  <c r="P389" i="28"/>
  <c r="P390" i="28"/>
  <c r="P391" i="28"/>
  <c r="P392" i="28"/>
  <c r="P393" i="28"/>
  <c r="P394" i="28"/>
  <c r="P395" i="28"/>
  <c r="P396" i="28"/>
  <c r="P397" i="28"/>
  <c r="P398" i="28"/>
  <c r="P399" i="28"/>
  <c r="P406" i="28"/>
  <c r="P407" i="28"/>
  <c r="P408" i="28"/>
  <c r="R364" i="28"/>
  <c r="R365" i="28"/>
  <c r="R366" i="28"/>
  <c r="R367" i="28"/>
  <c r="R368" i="28"/>
  <c r="R369" i="28"/>
  <c r="R370" i="28"/>
  <c r="R371" i="28"/>
  <c r="R372" i="28"/>
  <c r="R373" i="28"/>
  <c r="R374" i="28"/>
  <c r="R375" i="28"/>
  <c r="R376" i="28"/>
  <c r="R377" i="28"/>
  <c r="R378" i="28"/>
  <c r="R379" i="28"/>
  <c r="R380" i="28"/>
  <c r="R381" i="28"/>
  <c r="R382" i="28"/>
  <c r="R383" i="28"/>
  <c r="R384" i="28"/>
  <c r="R385" i="28"/>
  <c r="R386" i="28"/>
  <c r="R387" i="28"/>
  <c r="R388" i="28"/>
  <c r="R389" i="28"/>
  <c r="R390" i="28"/>
  <c r="R391" i="28"/>
  <c r="R392" i="28"/>
  <c r="R393" i="28"/>
  <c r="R394" i="28"/>
  <c r="R395" i="28"/>
  <c r="R396" i="28"/>
  <c r="R397" i="28"/>
  <c r="R398" i="28"/>
  <c r="R399" i="28"/>
  <c r="R314" i="28"/>
  <c r="R406" i="28"/>
  <c r="R407" i="28"/>
  <c r="R408" i="28"/>
  <c r="D6" i="68" a="1"/>
  <c r="G140" i="28"/>
  <c r="H140" i="28"/>
  <c r="I140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3" i="28"/>
  <c r="J134" i="28"/>
  <c r="J135" i="28"/>
  <c r="J136" i="28"/>
  <c r="J137" i="28"/>
  <c r="J138" i="28"/>
  <c r="J139" i="28"/>
  <c r="J140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3" i="28"/>
  <c r="K134" i="28"/>
  <c r="K135" i="28"/>
  <c r="K136" i="28"/>
  <c r="K137" i="28"/>
  <c r="K138" i="28"/>
  <c r="K139" i="28"/>
  <c r="K140" i="28"/>
  <c r="L85" i="28"/>
  <c r="L86" i="28"/>
  <c r="L87" i="28"/>
  <c r="L88" i="28"/>
  <c r="L89" i="28"/>
  <c r="L90" i="28"/>
  <c r="L91" i="28"/>
  <c r="L92" i="28"/>
  <c r="L93" i="28"/>
  <c r="L94" i="28"/>
  <c r="L95" i="28"/>
  <c r="L96" i="28"/>
  <c r="L97" i="28"/>
  <c r="L98" i="28"/>
  <c r="L99" i="28"/>
  <c r="L100" i="28"/>
  <c r="L101" i="28"/>
  <c r="L102" i="28"/>
  <c r="L103" i="28"/>
  <c r="L104" i="28"/>
  <c r="L105" i="28"/>
  <c r="L106" i="28"/>
  <c r="L107" i="28"/>
  <c r="L108" i="28"/>
  <c r="L109" i="28"/>
  <c r="L110" i="28"/>
  <c r="L111" i="28"/>
  <c r="L112" i="28"/>
  <c r="L113" i="28"/>
  <c r="L114" i="28"/>
  <c r="L115" i="28"/>
  <c r="L116" i="28"/>
  <c r="L117" i="28"/>
  <c r="L118" i="28"/>
  <c r="L119" i="28"/>
  <c r="L120" i="28"/>
  <c r="L121" i="28"/>
  <c r="L122" i="28"/>
  <c r="L123" i="28"/>
  <c r="L124" i="28"/>
  <c r="L125" i="28"/>
  <c r="L126" i="28"/>
  <c r="L127" i="28"/>
  <c r="L128" i="28"/>
  <c r="L129" i="28"/>
  <c r="L130" i="28"/>
  <c r="L131" i="28"/>
  <c r="L132" i="28"/>
  <c r="L133" i="28"/>
  <c r="L134" i="28"/>
  <c r="L135" i="28"/>
  <c r="L136" i="28"/>
  <c r="L137" i="28"/>
  <c r="L138" i="28"/>
  <c r="L139" i="28"/>
  <c r="L140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N122" i="28"/>
  <c r="N123" i="28"/>
  <c r="N124" i="28"/>
  <c r="N125" i="28"/>
  <c r="N126" i="28"/>
  <c r="N127" i="28"/>
  <c r="N128" i="28"/>
  <c r="N129" i="28"/>
  <c r="N130" i="28"/>
  <c r="N131" i="28"/>
  <c r="N132" i="28"/>
  <c r="N133" i="28"/>
  <c r="N134" i="28"/>
  <c r="N135" i="28"/>
  <c r="N136" i="28"/>
  <c r="N137" i="28"/>
  <c r="N138" i="28"/>
  <c r="N139" i="28"/>
  <c r="N140" i="28"/>
  <c r="O85" i="28"/>
  <c r="O86" i="28"/>
  <c r="O87" i="28"/>
  <c r="O88" i="28"/>
  <c r="O89" i="28"/>
  <c r="O90" i="28"/>
  <c r="O91" i="28"/>
  <c r="O92" i="28"/>
  <c r="O93" i="28"/>
  <c r="O94" i="28"/>
  <c r="O95" i="28"/>
  <c r="O96" i="28"/>
  <c r="O97" i="28"/>
  <c r="O98" i="28"/>
  <c r="O99" i="28"/>
  <c r="O100" i="28"/>
  <c r="O101" i="28"/>
  <c r="O102" i="28"/>
  <c r="O103" i="28"/>
  <c r="O104" i="28"/>
  <c r="O105" i="28"/>
  <c r="O106" i="28"/>
  <c r="O107" i="28"/>
  <c r="O108" i="28"/>
  <c r="O109" i="28"/>
  <c r="O110" i="28"/>
  <c r="O111" i="28"/>
  <c r="O112" i="28"/>
  <c r="O113" i="28"/>
  <c r="O114" i="28"/>
  <c r="O115" i="28"/>
  <c r="O116" i="28"/>
  <c r="O117" i="28"/>
  <c r="O118" i="28"/>
  <c r="O119" i="28"/>
  <c r="O120" i="28"/>
  <c r="O121" i="28"/>
  <c r="O122" i="28"/>
  <c r="O123" i="28"/>
  <c r="O124" i="28"/>
  <c r="O125" i="28"/>
  <c r="O126" i="28"/>
  <c r="O127" i="28"/>
  <c r="O128" i="28"/>
  <c r="O129" i="28"/>
  <c r="O130" i="28"/>
  <c r="O131" i="28"/>
  <c r="O132" i="28"/>
  <c r="O133" i="28"/>
  <c r="O134" i="28"/>
  <c r="O135" i="28"/>
  <c r="O136" i="28"/>
  <c r="O137" i="28"/>
  <c r="O138" i="28"/>
  <c r="O139" i="28"/>
  <c r="O140" i="28"/>
  <c r="P85" i="28"/>
  <c r="P86" i="28"/>
  <c r="P87" i="28"/>
  <c r="P88" i="28"/>
  <c r="P89" i="28"/>
  <c r="P90" i="28"/>
  <c r="P91" i="28"/>
  <c r="P92" i="28"/>
  <c r="P93" i="28"/>
  <c r="P94" i="28"/>
  <c r="P95" i="28"/>
  <c r="P96" i="28"/>
  <c r="P97" i="28"/>
  <c r="P98" i="28"/>
  <c r="P99" i="28"/>
  <c r="P100" i="28"/>
  <c r="P101" i="28"/>
  <c r="P102" i="28"/>
  <c r="P103" i="28"/>
  <c r="P104" i="28"/>
  <c r="P105" i="28"/>
  <c r="P106" i="28"/>
  <c r="P107" i="28"/>
  <c r="P108" i="28"/>
  <c r="P109" i="28"/>
  <c r="P110" i="28"/>
  <c r="P111" i="28"/>
  <c r="P112" i="28"/>
  <c r="P113" i="28"/>
  <c r="P114" i="28"/>
  <c r="P115" i="28"/>
  <c r="P116" i="28"/>
  <c r="P117" i="28"/>
  <c r="P118" i="28"/>
  <c r="P119" i="28"/>
  <c r="P120" i="28"/>
  <c r="P121" i="28"/>
  <c r="P122" i="28"/>
  <c r="P123" i="28"/>
  <c r="P124" i="28"/>
  <c r="P125" i="28"/>
  <c r="P126" i="28"/>
  <c r="P127" i="28"/>
  <c r="P128" i="28"/>
  <c r="P129" i="28"/>
  <c r="P130" i="28"/>
  <c r="P131" i="28"/>
  <c r="P132" i="28"/>
  <c r="P133" i="28"/>
  <c r="P134" i="28"/>
  <c r="P135" i="28"/>
  <c r="P136" i="28"/>
  <c r="P137" i="28"/>
  <c r="P138" i="28"/>
  <c r="P139" i="28"/>
  <c r="P140" i="28"/>
  <c r="R85" i="28"/>
  <c r="R86" i="28"/>
  <c r="R87" i="28"/>
  <c r="R88" i="28"/>
  <c r="R89" i="28"/>
  <c r="R90" i="28"/>
  <c r="R91" i="28"/>
  <c r="R92" i="28"/>
  <c r="R93" i="28"/>
  <c r="R94" i="28"/>
  <c r="R95" i="28"/>
  <c r="R96" i="28"/>
  <c r="R97" i="28"/>
  <c r="R98" i="28"/>
  <c r="R99" i="28"/>
  <c r="R100" i="28"/>
  <c r="R101" i="28"/>
  <c r="R102" i="28"/>
  <c r="R103" i="28"/>
  <c r="R104" i="28"/>
  <c r="R105" i="28"/>
  <c r="R106" i="28"/>
  <c r="R107" i="28"/>
  <c r="R108" i="28"/>
  <c r="R109" i="28"/>
  <c r="R110" i="28"/>
  <c r="R111" i="28"/>
  <c r="R112" i="28"/>
  <c r="R113" i="28"/>
  <c r="R114" i="28"/>
  <c r="R115" i="28"/>
  <c r="R116" i="28"/>
  <c r="R117" i="28"/>
  <c r="R118" i="28"/>
  <c r="R119" i="28"/>
  <c r="R120" i="28"/>
  <c r="R121" i="28"/>
  <c r="R122" i="28"/>
  <c r="R123" i="28"/>
  <c r="R124" i="28"/>
  <c r="R125" i="28"/>
  <c r="R126" i="28"/>
  <c r="R127" i="28"/>
  <c r="R128" i="28"/>
  <c r="R129" i="28"/>
  <c r="R130" i="28"/>
  <c r="R131" i="28"/>
  <c r="R132" i="28"/>
  <c r="R133" i="28"/>
  <c r="R135" i="28"/>
  <c r="R136" i="28"/>
  <c r="R137" i="28"/>
  <c r="R138" i="28"/>
  <c r="R139" i="28"/>
  <c r="R140" i="28"/>
  <c r="F6" i="68" a="1"/>
  <c r="G253" i="28"/>
  <c r="G254" i="28"/>
  <c r="G255" i="28"/>
  <c r="G256" i="28"/>
  <c r="G257" i="28"/>
  <c r="G258" i="28"/>
  <c r="G259" i="28"/>
  <c r="H253" i="28"/>
  <c r="H254" i="28"/>
  <c r="H255" i="28"/>
  <c r="H256" i="28"/>
  <c r="H257" i="28"/>
  <c r="H258" i="28"/>
  <c r="H259" i="28"/>
  <c r="I253" i="28"/>
  <c r="I254" i="28"/>
  <c r="I255" i="28"/>
  <c r="I256" i="28"/>
  <c r="I257" i="28"/>
  <c r="I258" i="28"/>
  <c r="I259" i="28"/>
  <c r="J253" i="28"/>
  <c r="J254" i="28"/>
  <c r="J255" i="28"/>
  <c r="J256" i="28"/>
  <c r="J257" i="28"/>
  <c r="J258" i="28"/>
  <c r="J259" i="28"/>
  <c r="K253" i="28"/>
  <c r="K254" i="28"/>
  <c r="K255" i="28"/>
  <c r="K256" i="28"/>
  <c r="K257" i="28"/>
  <c r="K258" i="28"/>
  <c r="K259" i="28"/>
  <c r="L253" i="28"/>
  <c r="L254" i="28"/>
  <c r="L255" i="28"/>
  <c r="L256" i="28"/>
  <c r="L257" i="28"/>
  <c r="L258" i="28"/>
  <c r="L259" i="28"/>
  <c r="M253" i="28"/>
  <c r="M254" i="28"/>
  <c r="M255" i="28"/>
  <c r="M256" i="28"/>
  <c r="M257" i="28"/>
  <c r="M258" i="28"/>
  <c r="M259" i="28"/>
  <c r="N253" i="28"/>
  <c r="N254" i="28"/>
  <c r="N255" i="28"/>
  <c r="N256" i="28"/>
  <c r="N257" i="28"/>
  <c r="N258" i="28"/>
  <c r="N259" i="28"/>
  <c r="O253" i="28"/>
  <c r="O254" i="28"/>
  <c r="O255" i="28"/>
  <c r="O256" i="28"/>
  <c r="O257" i="28"/>
  <c r="O258" i="28"/>
  <c r="O259" i="28"/>
  <c r="P253" i="28"/>
  <c r="P254" i="28"/>
  <c r="P255" i="28"/>
  <c r="P256" i="28"/>
  <c r="P257" i="28"/>
  <c r="P258" i="28"/>
  <c r="P259" i="28"/>
  <c r="R253" i="28"/>
  <c r="R254" i="28"/>
  <c r="R255" i="28"/>
  <c r="R256" i="28"/>
  <c r="R257" i="28"/>
  <c r="R258" i="28"/>
  <c r="R259" i="28"/>
  <c r="H6" i="68" a="1"/>
  <c r="G232" i="28"/>
  <c r="G233" i="28"/>
  <c r="G234" i="28"/>
  <c r="G189" i="28"/>
  <c r="G190" i="28"/>
  <c r="G191" i="28"/>
  <c r="G192" i="28"/>
  <c r="G193" i="28"/>
  <c r="G194" i="28"/>
  <c r="G195" i="28"/>
  <c r="G196" i="28"/>
  <c r="G197" i="28"/>
  <c r="G198" i="28"/>
  <c r="G199" i="28"/>
  <c r="G200" i="28"/>
  <c r="G201" i="28"/>
  <c r="G202" i="28"/>
  <c r="G203" i="28"/>
  <c r="G204" i="28"/>
  <c r="G205" i="28"/>
  <c r="G206" i="28"/>
  <c r="G207" i="28"/>
  <c r="G208" i="28"/>
  <c r="G209" i="28"/>
  <c r="G210" i="28"/>
  <c r="G211" i="28"/>
  <c r="G212" i="28"/>
  <c r="G213" i="28"/>
  <c r="G214" i="28"/>
  <c r="G215" i="28"/>
  <c r="G216" i="28"/>
  <c r="G217" i="28"/>
  <c r="G218" i="28"/>
  <c r="G219" i="28"/>
  <c r="G220" i="28"/>
  <c r="G221" i="28"/>
  <c r="G222" i="28"/>
  <c r="G223" i="28"/>
  <c r="H232" i="28"/>
  <c r="H233" i="28"/>
  <c r="H234" i="28"/>
  <c r="H189" i="28"/>
  <c r="H190" i="28"/>
  <c r="H191" i="28"/>
  <c r="H192" i="28"/>
  <c r="H193" i="28"/>
  <c r="H194" i="28"/>
  <c r="H195" i="28"/>
  <c r="H196" i="28"/>
  <c r="H197" i="28"/>
  <c r="H198" i="28"/>
  <c r="H199" i="28"/>
  <c r="H200" i="28"/>
  <c r="H201" i="28"/>
  <c r="H202" i="28"/>
  <c r="H203" i="28"/>
  <c r="H204" i="28"/>
  <c r="H205" i="28"/>
  <c r="H206" i="28"/>
  <c r="H207" i="28"/>
  <c r="H208" i="28"/>
  <c r="H209" i="28"/>
  <c r="H210" i="28"/>
  <c r="H211" i="28"/>
  <c r="H212" i="28"/>
  <c r="H213" i="28"/>
  <c r="H214" i="28"/>
  <c r="H215" i="28"/>
  <c r="H216" i="28"/>
  <c r="H217" i="28"/>
  <c r="H218" i="28"/>
  <c r="H219" i="28"/>
  <c r="H220" i="28"/>
  <c r="H221" i="28"/>
  <c r="H222" i="28"/>
  <c r="H223" i="28"/>
  <c r="I232" i="28"/>
  <c r="I233" i="28"/>
  <c r="I234" i="28"/>
  <c r="I189" i="28"/>
  <c r="I190" i="28"/>
  <c r="I191" i="28"/>
  <c r="I192" i="28"/>
  <c r="I193" i="28"/>
  <c r="I194" i="28"/>
  <c r="I195" i="28"/>
  <c r="I196" i="28"/>
  <c r="I197" i="28"/>
  <c r="I198" i="28"/>
  <c r="I199" i="28"/>
  <c r="I200" i="28"/>
  <c r="I201" i="28"/>
  <c r="I202" i="28"/>
  <c r="I203" i="28"/>
  <c r="I204" i="28"/>
  <c r="I205" i="28"/>
  <c r="I206" i="28"/>
  <c r="I207" i="28"/>
  <c r="I208" i="28"/>
  <c r="I209" i="28"/>
  <c r="I210" i="28"/>
  <c r="I211" i="28"/>
  <c r="I212" i="28"/>
  <c r="I213" i="28"/>
  <c r="I214" i="28"/>
  <c r="I215" i="28"/>
  <c r="I216" i="28"/>
  <c r="I217" i="28"/>
  <c r="I218" i="28"/>
  <c r="I219" i="28"/>
  <c r="I220" i="28"/>
  <c r="I221" i="28"/>
  <c r="I222" i="28"/>
  <c r="I223" i="28"/>
  <c r="J232" i="28"/>
  <c r="J233" i="28"/>
  <c r="J234" i="28"/>
  <c r="J189" i="28"/>
  <c r="J190" i="28"/>
  <c r="J191" i="28"/>
  <c r="J192" i="28"/>
  <c r="J193" i="28"/>
  <c r="J194" i="28"/>
  <c r="J195" i="28"/>
  <c r="J196" i="28"/>
  <c r="J197" i="28"/>
  <c r="J198" i="28"/>
  <c r="J199" i="28"/>
  <c r="J200" i="28"/>
  <c r="J201" i="28"/>
  <c r="J202" i="28"/>
  <c r="J203" i="28"/>
  <c r="J204" i="28"/>
  <c r="J205" i="28"/>
  <c r="J206" i="28"/>
  <c r="J207" i="28"/>
  <c r="J208" i="28"/>
  <c r="J209" i="28"/>
  <c r="J210" i="28"/>
  <c r="J211" i="28"/>
  <c r="J212" i="28"/>
  <c r="J213" i="28"/>
  <c r="J214" i="28"/>
  <c r="J215" i="28"/>
  <c r="J216" i="28"/>
  <c r="J217" i="28"/>
  <c r="J218" i="28"/>
  <c r="J219" i="28"/>
  <c r="J220" i="28"/>
  <c r="J221" i="28"/>
  <c r="J222" i="28"/>
  <c r="J223" i="28"/>
  <c r="K232" i="28"/>
  <c r="K233" i="28"/>
  <c r="K234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K205" i="28"/>
  <c r="K206" i="28"/>
  <c r="K207" i="28"/>
  <c r="K208" i="28"/>
  <c r="K209" i="28"/>
  <c r="K210" i="28"/>
  <c r="K211" i="28"/>
  <c r="K212" i="28"/>
  <c r="K213" i="28"/>
  <c r="K214" i="28"/>
  <c r="K215" i="28"/>
  <c r="K216" i="28"/>
  <c r="K217" i="28"/>
  <c r="K218" i="28"/>
  <c r="K219" i="28"/>
  <c r="K220" i="28"/>
  <c r="K221" i="28"/>
  <c r="K222" i="28"/>
  <c r="K223" i="28"/>
  <c r="L232" i="28"/>
  <c r="L233" i="28"/>
  <c r="L234" i="28"/>
  <c r="L189" i="28"/>
  <c r="L190" i="28"/>
  <c r="L191" i="28"/>
  <c r="L192" i="28"/>
  <c r="L193" i="28"/>
  <c r="L194" i="28"/>
  <c r="L195" i="28"/>
  <c r="L196" i="28"/>
  <c r="L197" i="28"/>
  <c r="L198" i="28"/>
  <c r="L199" i="28"/>
  <c r="L200" i="28"/>
  <c r="L201" i="28"/>
  <c r="L202" i="28"/>
  <c r="L203" i="28"/>
  <c r="L204" i="28"/>
  <c r="L205" i="28"/>
  <c r="L206" i="28"/>
  <c r="L207" i="28"/>
  <c r="L208" i="28"/>
  <c r="L209" i="28"/>
  <c r="L210" i="28"/>
  <c r="L211" i="28"/>
  <c r="L212" i="28"/>
  <c r="L213" i="28"/>
  <c r="L214" i="28"/>
  <c r="L215" i="28"/>
  <c r="L216" i="28"/>
  <c r="L217" i="28"/>
  <c r="L218" i="28"/>
  <c r="L219" i="28"/>
  <c r="L220" i="28"/>
  <c r="L221" i="28"/>
  <c r="L222" i="28"/>
  <c r="L223" i="28"/>
  <c r="M232" i="28"/>
  <c r="M233" i="28"/>
  <c r="M234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209" i="28"/>
  <c r="M210" i="28"/>
  <c r="M211" i="28"/>
  <c r="M212" i="28"/>
  <c r="M213" i="28"/>
  <c r="M214" i="28"/>
  <c r="M215" i="28"/>
  <c r="M216" i="28"/>
  <c r="M217" i="28"/>
  <c r="M218" i="28"/>
  <c r="M219" i="28"/>
  <c r="M220" i="28"/>
  <c r="M221" i="28"/>
  <c r="M222" i="28"/>
  <c r="M223" i="28"/>
  <c r="N232" i="28"/>
  <c r="N233" i="28"/>
  <c r="N234" i="28"/>
  <c r="N189" i="28"/>
  <c r="N190" i="28"/>
  <c r="N191" i="28"/>
  <c r="N192" i="28"/>
  <c r="N193" i="28"/>
  <c r="N194" i="28"/>
  <c r="N195" i="28"/>
  <c r="N196" i="28"/>
  <c r="N197" i="28"/>
  <c r="N198" i="28"/>
  <c r="N199" i="28"/>
  <c r="N200" i="28"/>
  <c r="N201" i="28"/>
  <c r="N202" i="28"/>
  <c r="N203" i="28"/>
  <c r="N204" i="28"/>
  <c r="N205" i="28"/>
  <c r="N206" i="28"/>
  <c r="N207" i="28"/>
  <c r="N208" i="28"/>
  <c r="N209" i="28"/>
  <c r="N210" i="28"/>
  <c r="N211" i="28"/>
  <c r="N212" i="28"/>
  <c r="N213" i="28"/>
  <c r="N214" i="28"/>
  <c r="N215" i="28"/>
  <c r="N216" i="28"/>
  <c r="N217" i="28"/>
  <c r="N218" i="28"/>
  <c r="N219" i="28"/>
  <c r="N220" i="28"/>
  <c r="N221" i="28"/>
  <c r="N222" i="28"/>
  <c r="N223" i="28"/>
  <c r="O232" i="28"/>
  <c r="O233" i="28"/>
  <c r="O234" i="28"/>
  <c r="O189" i="28"/>
  <c r="O190" i="28"/>
  <c r="O191" i="28"/>
  <c r="O192" i="28"/>
  <c r="O193" i="28"/>
  <c r="O194" i="28"/>
  <c r="O195" i="28"/>
  <c r="O196" i="28"/>
  <c r="O197" i="28"/>
  <c r="O198" i="28"/>
  <c r="O199" i="28"/>
  <c r="O200" i="28"/>
  <c r="O201" i="28"/>
  <c r="O202" i="28"/>
  <c r="O203" i="28"/>
  <c r="O204" i="28"/>
  <c r="O205" i="28"/>
  <c r="O206" i="28"/>
  <c r="O207" i="28"/>
  <c r="O208" i="28"/>
  <c r="O209" i="28"/>
  <c r="O210" i="28"/>
  <c r="O211" i="28"/>
  <c r="O212" i="28"/>
  <c r="O213" i="28"/>
  <c r="O214" i="28"/>
  <c r="O215" i="28"/>
  <c r="O216" i="28"/>
  <c r="O217" i="28"/>
  <c r="O218" i="28"/>
  <c r="O219" i="28"/>
  <c r="O220" i="28"/>
  <c r="O221" i="28"/>
  <c r="O222" i="28"/>
  <c r="O223" i="28"/>
  <c r="P232" i="28"/>
  <c r="P233" i="28"/>
  <c r="P234" i="28"/>
  <c r="P189" i="28"/>
  <c r="P190" i="28"/>
  <c r="P191" i="28"/>
  <c r="P192" i="28"/>
  <c r="P193" i="28"/>
  <c r="P194" i="28"/>
  <c r="P195" i="28"/>
  <c r="P196" i="28"/>
  <c r="P197" i="28"/>
  <c r="P198" i="28"/>
  <c r="P199" i="28"/>
  <c r="P200" i="28"/>
  <c r="P201" i="28"/>
  <c r="P202" i="28"/>
  <c r="P203" i="28"/>
  <c r="P204" i="28"/>
  <c r="P205" i="28"/>
  <c r="P206" i="28"/>
  <c r="P207" i="28"/>
  <c r="P208" i="28"/>
  <c r="P209" i="28"/>
  <c r="P210" i="28"/>
  <c r="P211" i="28"/>
  <c r="P212" i="28"/>
  <c r="P213" i="28"/>
  <c r="P214" i="28"/>
  <c r="P215" i="28"/>
  <c r="P216" i="28"/>
  <c r="P217" i="28"/>
  <c r="P218" i="28"/>
  <c r="P219" i="28"/>
  <c r="P220" i="28"/>
  <c r="P221" i="28"/>
  <c r="P222" i="28"/>
  <c r="P223" i="28"/>
  <c r="R232" i="28"/>
  <c r="R233" i="28"/>
  <c r="R234" i="28"/>
  <c r="R189" i="28"/>
  <c r="R190" i="28"/>
  <c r="R191" i="28"/>
  <c r="R192" i="28"/>
  <c r="R193" i="28"/>
  <c r="R194" i="28"/>
  <c r="R195" i="28"/>
  <c r="R196" i="28"/>
  <c r="R197" i="28"/>
  <c r="R198" i="28"/>
  <c r="R199" i="28"/>
  <c r="R200" i="28"/>
  <c r="R201" i="28"/>
  <c r="R202" i="28"/>
  <c r="R203" i="28"/>
  <c r="R204" i="28"/>
  <c r="R205" i="28"/>
  <c r="R206" i="28"/>
  <c r="R207" i="28"/>
  <c r="R208" i="28"/>
  <c r="R209" i="28"/>
  <c r="R210" i="28"/>
  <c r="R211" i="28"/>
  <c r="R212" i="28"/>
  <c r="R213" i="28"/>
  <c r="R214" i="28"/>
  <c r="R215" i="28"/>
  <c r="R216" i="28"/>
  <c r="R217" i="28"/>
  <c r="R218" i="28"/>
  <c r="R219" i="28"/>
  <c r="R220" i="28"/>
  <c r="R221" i="28"/>
  <c r="R222" i="28"/>
  <c r="R223" i="28"/>
  <c r="M6" i="68" a="1"/>
  <c r="O7" i="68"/>
  <c r="O8" i="68"/>
  <c r="O9" i="68"/>
  <c r="O10" i="68"/>
  <c r="O11" i="68"/>
  <c r="O12" i="68"/>
  <c r="O13" i="68"/>
  <c r="O14" i="68"/>
  <c r="O15" i="68"/>
  <c r="O16" i="68"/>
  <c r="O17" i="68"/>
  <c r="D6" i="68"/>
  <c r="F6" i="68"/>
  <c r="H6" i="68"/>
  <c r="M6" i="68"/>
  <c r="O6" i="68"/>
  <c r="G152" i="28"/>
  <c r="G176" i="28"/>
  <c r="G183" i="28"/>
  <c r="G184" i="28"/>
  <c r="G187" i="28"/>
  <c r="G188" i="28"/>
  <c r="H152" i="28"/>
  <c r="H156" i="28"/>
  <c r="H176" i="28"/>
  <c r="H183" i="28"/>
  <c r="H184" i="28"/>
  <c r="H187" i="28"/>
  <c r="H188" i="28"/>
  <c r="I152" i="28"/>
  <c r="I156" i="28"/>
  <c r="I176" i="28"/>
  <c r="I183" i="28"/>
  <c r="I184" i="28"/>
  <c r="I187" i="28"/>
  <c r="I188" i="28"/>
  <c r="J152" i="28"/>
  <c r="J156" i="28"/>
  <c r="J176" i="28"/>
  <c r="J183" i="28"/>
  <c r="J184" i="28"/>
  <c r="J187" i="28"/>
  <c r="J188" i="28"/>
  <c r="K152" i="28"/>
  <c r="K156" i="28"/>
  <c r="K176" i="28"/>
  <c r="K183" i="28"/>
  <c r="K184" i="28"/>
  <c r="K187" i="28"/>
  <c r="K188" i="28"/>
  <c r="L152" i="28"/>
  <c r="L156" i="28"/>
  <c r="L176" i="28"/>
  <c r="L183" i="28"/>
  <c r="L184" i="28"/>
  <c r="L187" i="28"/>
  <c r="L188" i="28"/>
  <c r="M152" i="28"/>
  <c r="M156" i="28"/>
  <c r="M176" i="28"/>
  <c r="M183" i="28"/>
  <c r="M184" i="28"/>
  <c r="M187" i="28"/>
  <c r="M188" i="28"/>
  <c r="N152" i="28"/>
  <c r="N156" i="28"/>
  <c r="N176" i="28"/>
  <c r="N183" i="28"/>
  <c r="N184" i="28"/>
  <c r="N187" i="28"/>
  <c r="N188" i="28"/>
  <c r="O152" i="28"/>
  <c r="O156" i="28"/>
  <c r="O176" i="28"/>
  <c r="O183" i="28"/>
  <c r="O184" i="28"/>
  <c r="O187" i="28"/>
  <c r="O188" i="28"/>
  <c r="P152" i="28"/>
  <c r="P156" i="28"/>
  <c r="P176" i="28"/>
  <c r="P183" i="28"/>
  <c r="P184" i="28"/>
  <c r="P187" i="28"/>
  <c r="P188" i="28"/>
  <c r="Q152" i="28"/>
  <c r="Q156" i="28"/>
  <c r="Q176" i="28"/>
  <c r="Q183" i="28"/>
  <c r="Q184" i="28"/>
  <c r="Q187" i="28"/>
  <c r="Q188" i="28"/>
  <c r="R152" i="28"/>
  <c r="R156" i="28"/>
  <c r="R176" i="28"/>
  <c r="R183" i="28"/>
  <c r="R184" i="28"/>
  <c r="R187" i="28"/>
  <c r="R188" i="28"/>
  <c r="L6" i="68" a="1"/>
  <c r="L6" i="68"/>
  <c r="D14" i="19"/>
  <c r="I6" i="71"/>
  <c r="H6" i="71"/>
  <c r="G6" i="71"/>
  <c r="F6" i="71"/>
  <c r="E6" i="71"/>
  <c r="D6" i="71"/>
  <c r="C6" i="71"/>
  <c r="M12" i="71" a="1"/>
  <c r="M12" i="71"/>
  <c r="O12" i="71"/>
  <c r="N8" i="71" a="1"/>
  <c r="N8" i="71"/>
  <c r="N12" i="71" a="1"/>
  <c r="N12" i="71"/>
  <c r="P8" i="71"/>
  <c r="N9" i="71" a="1"/>
  <c r="N9" i="71"/>
  <c r="P9" i="71"/>
  <c r="N10" i="71" a="1"/>
  <c r="N10" i="71"/>
  <c r="P10" i="71"/>
  <c r="N11" i="71" a="1"/>
  <c r="N11" i="71"/>
  <c r="P11" i="71"/>
  <c r="P12" i="71"/>
  <c r="N7" i="71" a="1"/>
  <c r="N7" i="71"/>
  <c r="P7" i="71"/>
  <c r="M8" i="71" a="1"/>
  <c r="M8" i="71"/>
  <c r="O8" i="71"/>
  <c r="M9" i="71" a="1"/>
  <c r="M9" i="71"/>
  <c r="O9" i="71"/>
  <c r="M10" i="71" a="1"/>
  <c r="M10" i="71"/>
  <c r="O10" i="71"/>
  <c r="M11" i="71" a="1"/>
  <c r="M11" i="71"/>
  <c r="O11" i="71"/>
  <c r="M7" i="71" a="1"/>
  <c r="M7" i="71"/>
  <c r="O7" i="71"/>
  <c r="D19" i="71"/>
  <c r="E19" i="71"/>
  <c r="F19" i="71"/>
  <c r="G19" i="71"/>
  <c r="H19" i="71"/>
  <c r="I19" i="71"/>
  <c r="C19" i="71"/>
  <c r="C17" i="71"/>
  <c r="G61" i="35"/>
  <c r="H61" i="35"/>
  <c r="I61" i="35"/>
  <c r="J61" i="35"/>
  <c r="K61" i="35"/>
  <c r="L61" i="35"/>
  <c r="M61" i="35"/>
  <c r="N61" i="35"/>
  <c r="O61" i="35"/>
  <c r="P61" i="35"/>
  <c r="Q61" i="35"/>
  <c r="R61" i="35"/>
  <c r="S61" i="35"/>
  <c r="F61" i="35"/>
  <c r="G58" i="35"/>
  <c r="H58" i="35"/>
  <c r="I58" i="35"/>
  <c r="J58" i="35"/>
  <c r="K58" i="35"/>
  <c r="L58" i="35"/>
  <c r="M58" i="35"/>
  <c r="N58" i="35"/>
  <c r="O58" i="35"/>
  <c r="P58" i="35"/>
  <c r="Q58" i="35"/>
  <c r="R58" i="35"/>
  <c r="S58" i="35"/>
  <c r="F58" i="35"/>
  <c r="S41" i="35"/>
  <c r="S42" i="35"/>
  <c r="S43" i="35"/>
  <c r="Q40" i="35"/>
  <c r="Q41" i="35"/>
  <c r="Q42" i="35"/>
  <c r="Q43" i="35"/>
  <c r="O40" i="35"/>
  <c r="O41" i="35"/>
  <c r="O42" i="35"/>
  <c r="O43" i="35"/>
  <c r="M40" i="35"/>
  <c r="M41" i="35"/>
  <c r="M42" i="35"/>
  <c r="M43" i="35"/>
  <c r="K40" i="35"/>
  <c r="K41" i="35"/>
  <c r="K42" i="35"/>
  <c r="K43" i="35"/>
  <c r="I40" i="35"/>
  <c r="I41" i="35"/>
  <c r="I42" i="35"/>
  <c r="I43" i="35"/>
  <c r="G43" i="35"/>
  <c r="G42" i="35"/>
  <c r="G40" i="35"/>
  <c r="G41" i="35"/>
  <c r="S40" i="35"/>
  <c r="I17" i="74"/>
  <c r="F17" i="74"/>
  <c r="C17" i="74"/>
  <c r="B53" i="73" a="1"/>
  <c r="Q39" i="35"/>
  <c r="Q44" i="35"/>
  <c r="Q35" i="35"/>
  <c r="Q36" i="35"/>
  <c r="Q24" i="35"/>
  <c r="Q25" i="35"/>
  <c r="Q22" i="35"/>
  <c r="Q59" i="35"/>
  <c r="Q34" i="35"/>
  <c r="Q21" i="35"/>
  <c r="Q23" i="35"/>
  <c r="Q60" i="35"/>
  <c r="Q37" i="35"/>
  <c r="Q38" i="35"/>
  <c r="Q45" i="35"/>
  <c r="Q46" i="35"/>
  <c r="Q14" i="35"/>
  <c r="Q15" i="35"/>
  <c r="Q16" i="35"/>
  <c r="Q17" i="35"/>
  <c r="Q18" i="35"/>
  <c r="Q19" i="35"/>
  <c r="Q20" i="35"/>
  <c r="Q26" i="35"/>
  <c r="Q27" i="35"/>
  <c r="Q28" i="35"/>
  <c r="Q29" i="35"/>
  <c r="Q30" i="35"/>
  <c r="Q32" i="35"/>
  <c r="Q57" i="35"/>
  <c r="P17" i="62"/>
  <c r="Q17" i="62"/>
  <c r="P18" i="62"/>
  <c r="Q18" i="62"/>
  <c r="P19" i="62"/>
  <c r="Q19" i="62"/>
  <c r="P6" i="60"/>
  <c r="D26" i="33"/>
  <c r="D25" i="33"/>
  <c r="D52" i="33"/>
  <c r="E26" i="33"/>
  <c r="E25" i="33"/>
  <c r="E52" i="33"/>
  <c r="F52" i="33"/>
  <c r="G26" i="33"/>
  <c r="G25" i="33"/>
  <c r="G52" i="33"/>
  <c r="H26" i="33"/>
  <c r="H25" i="33"/>
  <c r="H52" i="33"/>
  <c r="I26" i="33"/>
  <c r="I25" i="33"/>
  <c r="I52" i="33"/>
  <c r="J26" i="33"/>
  <c r="J25" i="33"/>
  <c r="J52" i="33"/>
  <c r="K26" i="33"/>
  <c r="K25" i="33"/>
  <c r="K52" i="33"/>
  <c r="L26" i="33"/>
  <c r="L25" i="33"/>
  <c r="L52" i="33"/>
  <c r="M26" i="33"/>
  <c r="M25" i="33"/>
  <c r="M52" i="33"/>
  <c r="N26" i="33"/>
  <c r="N25" i="33"/>
  <c r="N52" i="33"/>
  <c r="O26" i="33"/>
  <c r="O25" i="33"/>
  <c r="O52" i="33"/>
  <c r="P26" i="33"/>
  <c r="P25" i="33"/>
  <c r="P52" i="33"/>
  <c r="Q26" i="33"/>
  <c r="Q25" i="33"/>
  <c r="Q52" i="33"/>
  <c r="R26" i="33"/>
  <c r="R25" i="33"/>
  <c r="R52" i="33"/>
  <c r="S26" i="33"/>
  <c r="S25" i="33"/>
  <c r="S52" i="33"/>
  <c r="T26" i="33"/>
  <c r="T25" i="33"/>
  <c r="T52" i="33"/>
  <c r="U26" i="33"/>
  <c r="U25" i="33"/>
  <c r="U52" i="33"/>
  <c r="V26" i="33"/>
  <c r="V25" i="33"/>
  <c r="V52" i="33"/>
  <c r="W26" i="33"/>
  <c r="W25" i="33"/>
  <c r="W52" i="33"/>
  <c r="X26" i="33"/>
  <c r="X25" i="33"/>
  <c r="X52" i="33"/>
  <c r="Y26" i="33"/>
  <c r="Y25" i="33"/>
  <c r="Y52" i="33"/>
  <c r="Z52" i="33"/>
  <c r="AA26" i="33"/>
  <c r="AA25" i="33"/>
  <c r="AA52" i="33"/>
  <c r="AB26" i="33"/>
  <c r="AB25" i="33"/>
  <c r="AB52" i="33"/>
  <c r="AC26" i="33"/>
  <c r="AC25" i="33"/>
  <c r="AC52" i="33"/>
  <c r="AD26" i="33"/>
  <c r="AD25" i="33"/>
  <c r="AD52" i="33"/>
  <c r="AE26" i="33"/>
  <c r="AE25" i="33"/>
  <c r="AE52" i="33"/>
  <c r="AF26" i="33"/>
  <c r="AF25" i="33"/>
  <c r="AF52" i="33"/>
  <c r="AG26" i="33"/>
  <c r="AG25" i="33"/>
  <c r="AG52" i="33"/>
  <c r="AH26" i="33"/>
  <c r="AH25" i="33"/>
  <c r="AH52" i="33"/>
  <c r="AI26" i="33"/>
  <c r="AI25" i="33"/>
  <c r="AI52" i="33"/>
  <c r="AJ26" i="33"/>
  <c r="AJ25" i="33"/>
  <c r="AJ52" i="33"/>
  <c r="AK26" i="33"/>
  <c r="AK25" i="33"/>
  <c r="AK52" i="33"/>
  <c r="AL26" i="33"/>
  <c r="AL25" i="33"/>
  <c r="AL52" i="33"/>
  <c r="AM26" i="33"/>
  <c r="AM25" i="33"/>
  <c r="AM52" i="33"/>
  <c r="AN26" i="33"/>
  <c r="AN25" i="33"/>
  <c r="AN52" i="33"/>
  <c r="AO26" i="33"/>
  <c r="AO25" i="33"/>
  <c r="AO52" i="33"/>
  <c r="AP26" i="33"/>
  <c r="AP25" i="33"/>
  <c r="AP52" i="33"/>
  <c r="AQ26" i="33"/>
  <c r="AQ25" i="33"/>
  <c r="AQ52" i="33"/>
  <c r="AR26" i="33"/>
  <c r="AR25" i="33"/>
  <c r="AR52" i="33"/>
  <c r="AS26" i="33"/>
  <c r="AS25" i="33"/>
  <c r="AS52" i="33"/>
  <c r="AT26" i="33"/>
  <c r="AT25" i="33"/>
  <c r="AT52" i="33"/>
  <c r="AU26" i="33"/>
  <c r="AU25" i="33"/>
  <c r="AU52" i="33"/>
  <c r="AV26" i="33"/>
  <c r="AV25" i="33"/>
  <c r="AV52" i="33"/>
  <c r="AW26" i="33"/>
  <c r="AW25" i="33"/>
  <c r="AW52" i="33"/>
  <c r="AX26" i="33"/>
  <c r="AX25" i="33"/>
  <c r="AX52" i="33"/>
  <c r="AY26" i="33"/>
  <c r="AY25" i="33"/>
  <c r="AY52" i="33"/>
  <c r="AZ26" i="33"/>
  <c r="AZ25" i="33"/>
  <c r="AZ52" i="33"/>
  <c r="BA26" i="33"/>
  <c r="BA25" i="33"/>
  <c r="BA52" i="33"/>
  <c r="BB26" i="33"/>
  <c r="BB25" i="33"/>
  <c r="BB52" i="33"/>
  <c r="BC26" i="33"/>
  <c r="BC25" i="33"/>
  <c r="BC52" i="33"/>
  <c r="BD26" i="33"/>
  <c r="BD25" i="33"/>
  <c r="BD52" i="33"/>
  <c r="BE26" i="33"/>
  <c r="BE25" i="33"/>
  <c r="BE52" i="33"/>
  <c r="BF26" i="33"/>
  <c r="BF25" i="33"/>
  <c r="BF52" i="33"/>
  <c r="BG26" i="33"/>
  <c r="BG25" i="33"/>
  <c r="BG52" i="33"/>
  <c r="BH26" i="33"/>
  <c r="BH25" i="33"/>
  <c r="BH52" i="33"/>
  <c r="BI26" i="33"/>
  <c r="BI25" i="33"/>
  <c r="BI52" i="33"/>
  <c r="BJ52" i="33"/>
  <c r="BK26" i="33"/>
  <c r="BK25" i="33"/>
  <c r="BK52" i="33"/>
  <c r="BL26" i="33"/>
  <c r="BL25" i="33"/>
  <c r="BL52" i="33"/>
  <c r="BM26" i="33"/>
  <c r="BM25" i="33"/>
  <c r="BM52" i="33"/>
  <c r="BN26" i="33"/>
  <c r="BN25" i="33"/>
  <c r="BN52" i="33"/>
  <c r="BO26" i="33"/>
  <c r="BO25" i="33"/>
  <c r="BO52" i="33"/>
  <c r="BP26" i="33"/>
  <c r="BP25" i="33"/>
  <c r="BP52" i="33"/>
  <c r="BQ26" i="33"/>
  <c r="BQ25" i="33"/>
  <c r="BQ52" i="33"/>
  <c r="BR52" i="33"/>
  <c r="BS52" i="33"/>
  <c r="BT52" i="33"/>
  <c r="D27" i="33"/>
  <c r="D40" i="33"/>
  <c r="E27" i="33"/>
  <c r="E40" i="33"/>
  <c r="F40" i="33"/>
  <c r="G27" i="33"/>
  <c r="G40" i="33"/>
  <c r="H27" i="33"/>
  <c r="H40" i="33"/>
  <c r="I27" i="33"/>
  <c r="I40" i="33"/>
  <c r="J27" i="33"/>
  <c r="J40" i="33"/>
  <c r="K27" i="33"/>
  <c r="K40" i="33"/>
  <c r="L27" i="33"/>
  <c r="L40" i="33"/>
  <c r="M27" i="33"/>
  <c r="M40" i="33"/>
  <c r="N27" i="33"/>
  <c r="N40" i="33"/>
  <c r="O27" i="33"/>
  <c r="O40" i="33"/>
  <c r="P27" i="33"/>
  <c r="P40" i="33"/>
  <c r="Q27" i="33"/>
  <c r="Q40" i="33"/>
  <c r="R27" i="33"/>
  <c r="R40" i="33"/>
  <c r="S27" i="33"/>
  <c r="S40" i="33"/>
  <c r="T27" i="33"/>
  <c r="T40" i="33"/>
  <c r="U27" i="33"/>
  <c r="U40" i="33"/>
  <c r="V27" i="33"/>
  <c r="V40" i="33"/>
  <c r="W27" i="33"/>
  <c r="W40" i="33"/>
  <c r="X27" i="33"/>
  <c r="X40" i="33"/>
  <c r="Y27" i="33"/>
  <c r="Y40" i="33"/>
  <c r="Z40" i="33"/>
  <c r="AA27" i="33"/>
  <c r="AA40" i="33"/>
  <c r="AB27" i="33"/>
  <c r="AB40" i="33"/>
  <c r="AC27" i="33"/>
  <c r="AC40" i="33"/>
  <c r="AD27" i="33"/>
  <c r="AD40" i="33"/>
  <c r="AE27" i="33"/>
  <c r="AE40" i="33"/>
  <c r="AF27" i="33"/>
  <c r="AF40" i="33"/>
  <c r="AG27" i="33"/>
  <c r="AG40" i="33"/>
  <c r="AH27" i="33"/>
  <c r="AH40" i="33"/>
  <c r="AI27" i="33"/>
  <c r="AI40" i="33"/>
  <c r="AJ27" i="33"/>
  <c r="AJ40" i="33"/>
  <c r="AK27" i="33"/>
  <c r="AK40" i="33"/>
  <c r="AL27" i="33"/>
  <c r="AL40" i="33"/>
  <c r="AM27" i="33"/>
  <c r="AM40" i="33"/>
  <c r="AN27" i="33"/>
  <c r="AN40" i="33"/>
  <c r="AO27" i="33"/>
  <c r="AO40" i="33"/>
  <c r="AP27" i="33"/>
  <c r="AP40" i="33"/>
  <c r="AQ27" i="33"/>
  <c r="AQ40" i="33"/>
  <c r="AR27" i="33"/>
  <c r="AR40" i="33"/>
  <c r="AS27" i="33"/>
  <c r="AS40" i="33"/>
  <c r="AT27" i="33"/>
  <c r="AT40" i="33"/>
  <c r="AU27" i="33"/>
  <c r="AU40" i="33"/>
  <c r="AV27" i="33"/>
  <c r="AV40" i="33"/>
  <c r="AW27" i="33"/>
  <c r="AW40" i="33"/>
  <c r="AX27" i="33"/>
  <c r="AX40" i="33"/>
  <c r="AY27" i="33"/>
  <c r="AY40" i="33"/>
  <c r="AZ27" i="33"/>
  <c r="AZ40" i="33"/>
  <c r="BA27" i="33"/>
  <c r="BA40" i="33"/>
  <c r="BB27" i="33"/>
  <c r="BB40" i="33"/>
  <c r="BC27" i="33"/>
  <c r="BC40" i="33"/>
  <c r="BD27" i="33"/>
  <c r="BD40" i="33"/>
  <c r="BE27" i="33"/>
  <c r="BE40" i="33"/>
  <c r="BF27" i="33"/>
  <c r="BF40" i="33"/>
  <c r="BG27" i="33"/>
  <c r="BG40" i="33"/>
  <c r="BH27" i="33"/>
  <c r="BH40" i="33"/>
  <c r="BI27" i="33"/>
  <c r="BI40" i="33"/>
  <c r="BJ40" i="33"/>
  <c r="BK27" i="33"/>
  <c r="BK40" i="33"/>
  <c r="BL27" i="33"/>
  <c r="BL40" i="33"/>
  <c r="BM27" i="33"/>
  <c r="BM40" i="33"/>
  <c r="BN27" i="33"/>
  <c r="BN40" i="33"/>
  <c r="BO27" i="33"/>
  <c r="BO40" i="33"/>
  <c r="BP27" i="33"/>
  <c r="BP40" i="33"/>
  <c r="BQ27" i="33"/>
  <c r="BQ40" i="33"/>
  <c r="BR40" i="33"/>
  <c r="BS40" i="33"/>
  <c r="BT40" i="33"/>
  <c r="BT64" i="33"/>
  <c r="G6" i="60"/>
  <c r="D53" i="33"/>
  <c r="E53" i="33"/>
  <c r="F53" i="33"/>
  <c r="G53" i="33"/>
  <c r="H53" i="33"/>
  <c r="I53" i="33"/>
  <c r="J53" i="33"/>
  <c r="K53" i="33"/>
  <c r="L53" i="33"/>
  <c r="M53" i="33"/>
  <c r="N53" i="33"/>
  <c r="O53" i="33"/>
  <c r="P53" i="33"/>
  <c r="Q53" i="33"/>
  <c r="R53" i="33"/>
  <c r="S53" i="33"/>
  <c r="T53" i="33"/>
  <c r="U53" i="33"/>
  <c r="V53" i="33"/>
  <c r="W53" i="33"/>
  <c r="X53" i="33"/>
  <c r="Y53" i="33"/>
  <c r="Z53" i="33"/>
  <c r="AA53" i="33"/>
  <c r="AB53" i="33"/>
  <c r="AC53" i="33"/>
  <c r="AD53" i="33"/>
  <c r="AE53" i="33"/>
  <c r="AF53" i="33"/>
  <c r="AG53" i="33"/>
  <c r="AH53" i="33"/>
  <c r="AI53" i="33"/>
  <c r="AJ53" i="33"/>
  <c r="AK53" i="33"/>
  <c r="AL53" i="33"/>
  <c r="AM53" i="33"/>
  <c r="AN53" i="33"/>
  <c r="AO53" i="33"/>
  <c r="AP53" i="33"/>
  <c r="AQ53" i="33"/>
  <c r="AR53" i="33"/>
  <c r="AS53" i="33"/>
  <c r="AT53" i="33"/>
  <c r="AU53" i="33"/>
  <c r="AV53" i="33"/>
  <c r="AW53" i="33"/>
  <c r="AX53" i="33"/>
  <c r="AY53" i="33"/>
  <c r="AZ53" i="33"/>
  <c r="BA53" i="33"/>
  <c r="BB53" i="33"/>
  <c r="BC53" i="33"/>
  <c r="BD53" i="33"/>
  <c r="BE53" i="33"/>
  <c r="BF53" i="33"/>
  <c r="BG53" i="33"/>
  <c r="BH53" i="33"/>
  <c r="BI53" i="33"/>
  <c r="BJ53" i="33"/>
  <c r="BK53" i="33"/>
  <c r="BL53" i="33"/>
  <c r="BM53" i="33"/>
  <c r="BN53" i="33"/>
  <c r="BO53" i="33"/>
  <c r="BP53" i="33"/>
  <c r="BQ53" i="33"/>
  <c r="BR53" i="33"/>
  <c r="BS53" i="33"/>
  <c r="BT53" i="33"/>
  <c r="D41" i="33"/>
  <c r="E41" i="33"/>
  <c r="F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AG41" i="33"/>
  <c r="AH41" i="33"/>
  <c r="AI41" i="33"/>
  <c r="AJ41" i="33"/>
  <c r="AK41" i="33"/>
  <c r="AL41" i="33"/>
  <c r="AM41" i="33"/>
  <c r="AN41" i="33"/>
  <c r="AO41" i="33"/>
  <c r="AP41" i="33"/>
  <c r="AQ41" i="33"/>
  <c r="AR41" i="33"/>
  <c r="AS41" i="33"/>
  <c r="AT41" i="33"/>
  <c r="AU41" i="33"/>
  <c r="AV41" i="33"/>
  <c r="AW41" i="33"/>
  <c r="AX41" i="33"/>
  <c r="AY41" i="33"/>
  <c r="AZ41" i="33"/>
  <c r="BA41" i="33"/>
  <c r="BB41" i="33"/>
  <c r="BC41" i="33"/>
  <c r="BD41" i="33"/>
  <c r="BE41" i="33"/>
  <c r="BF41" i="33"/>
  <c r="BG41" i="33"/>
  <c r="BH41" i="33"/>
  <c r="BI41" i="33"/>
  <c r="BJ41" i="33"/>
  <c r="BK41" i="33"/>
  <c r="BL41" i="33"/>
  <c r="BM41" i="33"/>
  <c r="BN41" i="33"/>
  <c r="BO41" i="33"/>
  <c r="BP41" i="33"/>
  <c r="BQ41" i="33"/>
  <c r="BR41" i="33"/>
  <c r="BS41" i="33"/>
  <c r="BT41" i="33"/>
  <c r="BT65" i="33"/>
  <c r="H6" i="60"/>
  <c r="D54" i="33"/>
  <c r="E54" i="33"/>
  <c r="F54" i="33"/>
  <c r="G54" i="33"/>
  <c r="H54" i="33"/>
  <c r="I54" i="33"/>
  <c r="J54" i="33"/>
  <c r="K54" i="33"/>
  <c r="L54" i="33"/>
  <c r="M54" i="33"/>
  <c r="N54" i="33"/>
  <c r="O54" i="33"/>
  <c r="P54" i="33"/>
  <c r="Q54" i="33"/>
  <c r="R54" i="33"/>
  <c r="S54" i="33"/>
  <c r="T54" i="33"/>
  <c r="U54" i="33"/>
  <c r="V54" i="33"/>
  <c r="W54" i="33"/>
  <c r="X54" i="33"/>
  <c r="Y54" i="33"/>
  <c r="Z54" i="33"/>
  <c r="AA54" i="33"/>
  <c r="AB54" i="33"/>
  <c r="AC54" i="33"/>
  <c r="AD54" i="33"/>
  <c r="AE54" i="33"/>
  <c r="AF54" i="33"/>
  <c r="AG54" i="33"/>
  <c r="AH54" i="33"/>
  <c r="AI54" i="33"/>
  <c r="AJ54" i="33"/>
  <c r="AK54" i="33"/>
  <c r="AL54" i="33"/>
  <c r="AM54" i="33"/>
  <c r="AN54" i="33"/>
  <c r="AO54" i="33"/>
  <c r="AP54" i="33"/>
  <c r="AQ54" i="33"/>
  <c r="AR54" i="33"/>
  <c r="AS54" i="33"/>
  <c r="AT54" i="33"/>
  <c r="AU54" i="33"/>
  <c r="AV54" i="33"/>
  <c r="AW54" i="33"/>
  <c r="AX54" i="33"/>
  <c r="AY54" i="33"/>
  <c r="AZ54" i="33"/>
  <c r="BA54" i="33"/>
  <c r="BB54" i="33"/>
  <c r="BC54" i="33"/>
  <c r="BD54" i="33"/>
  <c r="BE54" i="33"/>
  <c r="BF54" i="33"/>
  <c r="BG54" i="33"/>
  <c r="BH54" i="33"/>
  <c r="BI54" i="33"/>
  <c r="BJ54" i="33"/>
  <c r="BK54" i="33"/>
  <c r="BL54" i="33"/>
  <c r="BM54" i="33"/>
  <c r="BN54" i="33"/>
  <c r="BO54" i="33"/>
  <c r="BP54" i="33"/>
  <c r="BQ54" i="33"/>
  <c r="BR54" i="33"/>
  <c r="BS54" i="33"/>
  <c r="BT54" i="33"/>
  <c r="D42" i="33"/>
  <c r="E42" i="33"/>
  <c r="F42" i="33"/>
  <c r="G42" i="33"/>
  <c r="H42" i="33"/>
  <c r="I42" i="33"/>
  <c r="J42" i="33"/>
  <c r="K42" i="33"/>
  <c r="L42" i="33"/>
  <c r="M42" i="33"/>
  <c r="N42" i="33"/>
  <c r="O42" i="33"/>
  <c r="P42" i="33"/>
  <c r="Q42" i="33"/>
  <c r="R42" i="33"/>
  <c r="S42" i="33"/>
  <c r="T42" i="33"/>
  <c r="U42" i="33"/>
  <c r="V42" i="33"/>
  <c r="W42" i="33"/>
  <c r="X42" i="33"/>
  <c r="Y42" i="33"/>
  <c r="Z42" i="33"/>
  <c r="AA42" i="33"/>
  <c r="AB42" i="33"/>
  <c r="AC42" i="33"/>
  <c r="AD42" i="33"/>
  <c r="AE42" i="33"/>
  <c r="AF42" i="33"/>
  <c r="AG42" i="33"/>
  <c r="AH42" i="33"/>
  <c r="AI42" i="33"/>
  <c r="AJ42" i="33"/>
  <c r="AK42" i="33"/>
  <c r="AL42" i="33"/>
  <c r="AM42" i="33"/>
  <c r="AN42" i="33"/>
  <c r="AO42" i="33"/>
  <c r="AP42" i="33"/>
  <c r="AQ42" i="33"/>
  <c r="AR42" i="33"/>
  <c r="AS42" i="33"/>
  <c r="AT42" i="33"/>
  <c r="AU42" i="33"/>
  <c r="AV42" i="33"/>
  <c r="AW42" i="33"/>
  <c r="AX42" i="33"/>
  <c r="AY42" i="33"/>
  <c r="AZ42" i="33"/>
  <c r="BA42" i="33"/>
  <c r="BB42" i="33"/>
  <c r="BC42" i="33"/>
  <c r="BD42" i="33"/>
  <c r="BE42" i="33"/>
  <c r="BF42" i="33"/>
  <c r="BG42" i="33"/>
  <c r="BH42" i="33"/>
  <c r="BI42" i="33"/>
  <c r="BJ42" i="33"/>
  <c r="BK42" i="33"/>
  <c r="BL42" i="33"/>
  <c r="BM42" i="33"/>
  <c r="BN42" i="33"/>
  <c r="BO42" i="33"/>
  <c r="BP42" i="33"/>
  <c r="BQ42" i="33"/>
  <c r="BR42" i="33"/>
  <c r="BS42" i="33"/>
  <c r="BT42" i="33"/>
  <c r="BT66" i="33"/>
  <c r="I6" i="60"/>
  <c r="D55" i="33"/>
  <c r="E55" i="33"/>
  <c r="F55" i="33"/>
  <c r="G55" i="33"/>
  <c r="H55" i="33"/>
  <c r="I55" i="33"/>
  <c r="J55" i="33"/>
  <c r="K55" i="33"/>
  <c r="L55" i="33"/>
  <c r="M55" i="33"/>
  <c r="N55" i="33"/>
  <c r="O55" i="33"/>
  <c r="P55" i="33"/>
  <c r="Q55" i="33"/>
  <c r="R55" i="33"/>
  <c r="S55" i="33"/>
  <c r="T55" i="33"/>
  <c r="U55" i="33"/>
  <c r="V55" i="33"/>
  <c r="W55" i="33"/>
  <c r="X55" i="33"/>
  <c r="Y55" i="33"/>
  <c r="Z55" i="33"/>
  <c r="AA55" i="33"/>
  <c r="AB55" i="33"/>
  <c r="AC55" i="33"/>
  <c r="AD55" i="33"/>
  <c r="AE55" i="33"/>
  <c r="AF55" i="33"/>
  <c r="AG55" i="33"/>
  <c r="AH55" i="33"/>
  <c r="AI55" i="33"/>
  <c r="AJ55" i="33"/>
  <c r="AK55" i="33"/>
  <c r="AL55" i="33"/>
  <c r="AM55" i="33"/>
  <c r="AN55" i="33"/>
  <c r="AO55" i="33"/>
  <c r="AP55" i="33"/>
  <c r="AQ55" i="33"/>
  <c r="AR55" i="33"/>
  <c r="AS55" i="33"/>
  <c r="AT55" i="33"/>
  <c r="AU55" i="33"/>
  <c r="AV55" i="33"/>
  <c r="AW55" i="33"/>
  <c r="AX55" i="33"/>
  <c r="AY55" i="33"/>
  <c r="AZ55" i="33"/>
  <c r="BA55" i="33"/>
  <c r="BB55" i="33"/>
  <c r="BC55" i="33"/>
  <c r="BD55" i="33"/>
  <c r="BE55" i="33"/>
  <c r="BF55" i="33"/>
  <c r="BG55" i="33"/>
  <c r="BH55" i="33"/>
  <c r="BI55" i="33"/>
  <c r="BJ55" i="33"/>
  <c r="BK55" i="33"/>
  <c r="BL55" i="33"/>
  <c r="BM55" i="33"/>
  <c r="BN55" i="33"/>
  <c r="BO55" i="33"/>
  <c r="BP55" i="33"/>
  <c r="BQ55" i="33"/>
  <c r="BR55" i="33"/>
  <c r="BS55" i="33"/>
  <c r="BT55" i="33"/>
  <c r="D43" i="33"/>
  <c r="E43" i="33"/>
  <c r="F43" i="33"/>
  <c r="G43" i="33"/>
  <c r="H43" i="33"/>
  <c r="I43" i="33"/>
  <c r="J43" i="33"/>
  <c r="K43" i="33"/>
  <c r="L43" i="33"/>
  <c r="M43" i="33"/>
  <c r="N43" i="33"/>
  <c r="O43" i="33"/>
  <c r="P43" i="33"/>
  <c r="Q43" i="33"/>
  <c r="R43" i="33"/>
  <c r="S43" i="33"/>
  <c r="T43" i="33"/>
  <c r="U43" i="33"/>
  <c r="V43" i="33"/>
  <c r="W43" i="33"/>
  <c r="X43" i="33"/>
  <c r="Y43" i="33"/>
  <c r="Z43" i="33"/>
  <c r="AA43" i="33"/>
  <c r="AB43" i="33"/>
  <c r="AC43" i="33"/>
  <c r="AD43" i="33"/>
  <c r="AE43" i="33"/>
  <c r="AF43" i="33"/>
  <c r="AG43" i="33"/>
  <c r="AH43" i="33"/>
  <c r="AI43" i="33"/>
  <c r="AJ43" i="33"/>
  <c r="AK43" i="33"/>
  <c r="AL43" i="33"/>
  <c r="AM43" i="33"/>
  <c r="AN43" i="33"/>
  <c r="AO43" i="33"/>
  <c r="AP43" i="33"/>
  <c r="AQ43" i="33"/>
  <c r="AR43" i="33"/>
  <c r="AS43" i="33"/>
  <c r="AT43" i="33"/>
  <c r="AU43" i="33"/>
  <c r="AV43" i="33"/>
  <c r="AW43" i="33"/>
  <c r="AX43" i="33"/>
  <c r="AY43" i="33"/>
  <c r="AZ43" i="33"/>
  <c r="BA43" i="33"/>
  <c r="BB43" i="33"/>
  <c r="BC43" i="33"/>
  <c r="BD43" i="33"/>
  <c r="BE43" i="33"/>
  <c r="BF43" i="33"/>
  <c r="BG43" i="33"/>
  <c r="BH43" i="33"/>
  <c r="BI43" i="33"/>
  <c r="BJ43" i="33"/>
  <c r="BK43" i="33"/>
  <c r="BL43" i="33"/>
  <c r="BM43" i="33"/>
  <c r="BN43" i="33"/>
  <c r="BO43" i="33"/>
  <c r="BP43" i="33"/>
  <c r="BQ43" i="33"/>
  <c r="BR43" i="33"/>
  <c r="BS43" i="33"/>
  <c r="BT43" i="33"/>
  <c r="BT67" i="33"/>
  <c r="J6" i="60"/>
  <c r="D56" i="33"/>
  <c r="E56" i="33"/>
  <c r="F56" i="33"/>
  <c r="G56" i="33"/>
  <c r="H56" i="33"/>
  <c r="I56" i="33"/>
  <c r="J56" i="33"/>
  <c r="K56" i="33"/>
  <c r="L56" i="33"/>
  <c r="M56" i="33"/>
  <c r="N56" i="33"/>
  <c r="O56" i="33"/>
  <c r="P56" i="33"/>
  <c r="Q56" i="33"/>
  <c r="R56" i="33"/>
  <c r="S56" i="33"/>
  <c r="T56" i="33"/>
  <c r="U56" i="33"/>
  <c r="V56" i="33"/>
  <c r="W56" i="33"/>
  <c r="X56" i="33"/>
  <c r="Y56" i="33"/>
  <c r="Z56" i="33"/>
  <c r="AA56" i="33"/>
  <c r="AB56" i="33"/>
  <c r="AC56" i="33"/>
  <c r="AD56" i="33"/>
  <c r="AE56" i="33"/>
  <c r="AF56" i="33"/>
  <c r="AG56" i="33"/>
  <c r="AH56" i="33"/>
  <c r="AI56" i="33"/>
  <c r="AJ56" i="33"/>
  <c r="AK56" i="33"/>
  <c r="AL56" i="33"/>
  <c r="AM56" i="33"/>
  <c r="AN56" i="33"/>
  <c r="AO56" i="33"/>
  <c r="AP56" i="33"/>
  <c r="AQ56" i="33"/>
  <c r="AR56" i="33"/>
  <c r="AS56" i="33"/>
  <c r="AT56" i="33"/>
  <c r="AU56" i="33"/>
  <c r="AV56" i="33"/>
  <c r="AW56" i="33"/>
  <c r="AX56" i="33"/>
  <c r="AY56" i="33"/>
  <c r="AZ56" i="33"/>
  <c r="BA56" i="33"/>
  <c r="BB56" i="33"/>
  <c r="BC56" i="33"/>
  <c r="BD56" i="33"/>
  <c r="BE56" i="33"/>
  <c r="BF56" i="33"/>
  <c r="BG56" i="33"/>
  <c r="BH56" i="33"/>
  <c r="BI56" i="33"/>
  <c r="BJ56" i="33"/>
  <c r="BK56" i="33"/>
  <c r="BL56" i="33"/>
  <c r="BM56" i="33"/>
  <c r="BN56" i="33"/>
  <c r="BO56" i="33"/>
  <c r="BP56" i="33"/>
  <c r="BQ56" i="33"/>
  <c r="BR56" i="33"/>
  <c r="BS56" i="33"/>
  <c r="BT56" i="33"/>
  <c r="D44" i="33"/>
  <c r="E44" i="33"/>
  <c r="F44" i="33"/>
  <c r="G44" i="33"/>
  <c r="H44" i="33"/>
  <c r="I44" i="33"/>
  <c r="J44" i="33"/>
  <c r="K44" i="33"/>
  <c r="L44" i="33"/>
  <c r="M44" i="33"/>
  <c r="N44" i="33"/>
  <c r="O44" i="33"/>
  <c r="P44" i="33"/>
  <c r="Q44" i="33"/>
  <c r="R44" i="33"/>
  <c r="S44" i="33"/>
  <c r="T44" i="33"/>
  <c r="U44" i="33"/>
  <c r="V44" i="33"/>
  <c r="W44" i="33"/>
  <c r="X44" i="33"/>
  <c r="Y44" i="33"/>
  <c r="Z44" i="33"/>
  <c r="AA44" i="33"/>
  <c r="AB44" i="33"/>
  <c r="AC44" i="33"/>
  <c r="AD44" i="33"/>
  <c r="AE44" i="33"/>
  <c r="AF44" i="33"/>
  <c r="AG44" i="33"/>
  <c r="AH44" i="33"/>
  <c r="AI44" i="33"/>
  <c r="AJ44" i="33"/>
  <c r="AK44" i="33"/>
  <c r="AL44" i="33"/>
  <c r="AM44" i="33"/>
  <c r="AN44" i="33"/>
  <c r="AO44" i="33"/>
  <c r="AP44" i="33"/>
  <c r="AQ44" i="33"/>
  <c r="AR44" i="33"/>
  <c r="AS44" i="33"/>
  <c r="AT44" i="33"/>
  <c r="AU44" i="33"/>
  <c r="AV44" i="33"/>
  <c r="AW44" i="33"/>
  <c r="AX44" i="33"/>
  <c r="AY44" i="33"/>
  <c r="AZ44" i="33"/>
  <c r="BA44" i="33"/>
  <c r="BB44" i="33"/>
  <c r="BC44" i="33"/>
  <c r="BD44" i="33"/>
  <c r="BE44" i="33"/>
  <c r="BF44" i="33"/>
  <c r="BG44" i="33"/>
  <c r="BH44" i="33"/>
  <c r="BI44" i="33"/>
  <c r="BJ44" i="33"/>
  <c r="BK44" i="33"/>
  <c r="BL44" i="33"/>
  <c r="BM44" i="33"/>
  <c r="BN44" i="33"/>
  <c r="BO44" i="33"/>
  <c r="BP44" i="33"/>
  <c r="BQ44" i="33"/>
  <c r="BR44" i="33"/>
  <c r="BS44" i="33"/>
  <c r="BT44" i="33"/>
  <c r="BT68" i="33"/>
  <c r="K6" i="60"/>
  <c r="D57" i="33"/>
  <c r="E57" i="33"/>
  <c r="F57" i="33"/>
  <c r="G57" i="33"/>
  <c r="H57" i="33"/>
  <c r="I57" i="33"/>
  <c r="J57" i="33"/>
  <c r="K57" i="33"/>
  <c r="L57" i="33"/>
  <c r="M57" i="33"/>
  <c r="N57" i="33"/>
  <c r="O57" i="33"/>
  <c r="P57" i="33"/>
  <c r="Q57" i="33"/>
  <c r="R57" i="33"/>
  <c r="S57" i="33"/>
  <c r="T57" i="33"/>
  <c r="U57" i="33"/>
  <c r="V57" i="33"/>
  <c r="W57" i="33"/>
  <c r="X57" i="33"/>
  <c r="Y57" i="33"/>
  <c r="Z57" i="33"/>
  <c r="AA57" i="33"/>
  <c r="AB57" i="33"/>
  <c r="AC57" i="33"/>
  <c r="AD57" i="33"/>
  <c r="AE57" i="33"/>
  <c r="AF57" i="33"/>
  <c r="AG57" i="33"/>
  <c r="AH57" i="33"/>
  <c r="AI57" i="33"/>
  <c r="AJ57" i="33"/>
  <c r="AK57" i="33"/>
  <c r="AL57" i="33"/>
  <c r="AM57" i="33"/>
  <c r="AN57" i="33"/>
  <c r="AO57" i="33"/>
  <c r="AP57" i="33"/>
  <c r="AQ57" i="33"/>
  <c r="AR57" i="33"/>
  <c r="AS57" i="33"/>
  <c r="AT57" i="33"/>
  <c r="AU57" i="33"/>
  <c r="AV57" i="33"/>
  <c r="AW57" i="33"/>
  <c r="AX57" i="33"/>
  <c r="AY57" i="33"/>
  <c r="AZ57" i="33"/>
  <c r="BA57" i="33"/>
  <c r="BB57" i="33"/>
  <c r="BC57" i="33"/>
  <c r="BD57" i="33"/>
  <c r="BE57" i="33"/>
  <c r="BF57" i="33"/>
  <c r="BG57" i="33"/>
  <c r="BH57" i="33"/>
  <c r="BI57" i="33"/>
  <c r="BJ57" i="33"/>
  <c r="BK57" i="33"/>
  <c r="BL57" i="33"/>
  <c r="BM57" i="33"/>
  <c r="BN57" i="33"/>
  <c r="BO57" i="33"/>
  <c r="BP57" i="33"/>
  <c r="BQ57" i="33"/>
  <c r="BR57" i="33"/>
  <c r="BS57" i="33"/>
  <c r="BT57" i="33"/>
  <c r="D45" i="33"/>
  <c r="E45" i="33"/>
  <c r="F45" i="33"/>
  <c r="G45" i="33"/>
  <c r="H45" i="33"/>
  <c r="I45" i="33"/>
  <c r="J45" i="33"/>
  <c r="K45" i="33"/>
  <c r="L45" i="33"/>
  <c r="M45" i="33"/>
  <c r="N45" i="33"/>
  <c r="O45" i="33"/>
  <c r="P45" i="33"/>
  <c r="Q45" i="33"/>
  <c r="R45" i="33"/>
  <c r="S45" i="33"/>
  <c r="T45" i="33"/>
  <c r="U45" i="33"/>
  <c r="V45" i="33"/>
  <c r="W45" i="33"/>
  <c r="X45" i="33"/>
  <c r="Y45" i="33"/>
  <c r="Z45" i="33"/>
  <c r="AA45" i="33"/>
  <c r="AB45" i="33"/>
  <c r="AC45" i="33"/>
  <c r="AD45" i="33"/>
  <c r="AE45" i="33"/>
  <c r="AF45" i="33"/>
  <c r="AG45" i="33"/>
  <c r="AH45" i="33"/>
  <c r="AI45" i="33"/>
  <c r="AJ45" i="33"/>
  <c r="AK45" i="33"/>
  <c r="AL45" i="33"/>
  <c r="AM45" i="33"/>
  <c r="AN45" i="33"/>
  <c r="AO45" i="33"/>
  <c r="AP45" i="33"/>
  <c r="AQ45" i="33"/>
  <c r="AR45" i="33"/>
  <c r="AS45" i="33"/>
  <c r="AT45" i="33"/>
  <c r="AU45" i="33"/>
  <c r="AV45" i="33"/>
  <c r="AW45" i="33"/>
  <c r="AX45" i="33"/>
  <c r="AY45" i="33"/>
  <c r="AZ45" i="33"/>
  <c r="BA45" i="33"/>
  <c r="BB45" i="33"/>
  <c r="BC45" i="33"/>
  <c r="BD45" i="33"/>
  <c r="BE45" i="33"/>
  <c r="BF45" i="33"/>
  <c r="BG45" i="33"/>
  <c r="BH45" i="33"/>
  <c r="BI45" i="33"/>
  <c r="BJ45" i="33"/>
  <c r="BK45" i="33"/>
  <c r="BL45" i="33"/>
  <c r="BM45" i="33"/>
  <c r="BN45" i="33"/>
  <c r="BO45" i="33"/>
  <c r="BP45" i="33"/>
  <c r="BQ45" i="33"/>
  <c r="BR45" i="33"/>
  <c r="BS45" i="33"/>
  <c r="BT45" i="33"/>
  <c r="BT69" i="33"/>
  <c r="L6" i="60"/>
  <c r="D58" i="33"/>
  <c r="E58" i="33"/>
  <c r="F58" i="33"/>
  <c r="G58" i="33"/>
  <c r="H58" i="33"/>
  <c r="I58" i="33"/>
  <c r="J58" i="33"/>
  <c r="K58" i="33"/>
  <c r="L58" i="33"/>
  <c r="M58" i="33"/>
  <c r="N58" i="33"/>
  <c r="O58" i="33"/>
  <c r="P58" i="33"/>
  <c r="Q58" i="33"/>
  <c r="R58" i="33"/>
  <c r="S58" i="33"/>
  <c r="T58" i="33"/>
  <c r="U58" i="33"/>
  <c r="V58" i="33"/>
  <c r="W58" i="33"/>
  <c r="X58" i="33"/>
  <c r="Y58" i="33"/>
  <c r="Z58" i="33"/>
  <c r="AA58" i="33"/>
  <c r="AB58" i="33"/>
  <c r="AC58" i="33"/>
  <c r="AD58" i="33"/>
  <c r="AE58" i="33"/>
  <c r="AF58" i="33"/>
  <c r="AG58" i="33"/>
  <c r="AH58" i="33"/>
  <c r="AI58" i="33"/>
  <c r="AJ58" i="33"/>
  <c r="AK58" i="33"/>
  <c r="AL58" i="33"/>
  <c r="AM58" i="33"/>
  <c r="AN58" i="33"/>
  <c r="AO58" i="33"/>
  <c r="AP58" i="33"/>
  <c r="AQ58" i="33"/>
  <c r="AR58" i="33"/>
  <c r="AS58" i="33"/>
  <c r="AT58" i="33"/>
  <c r="AU58" i="33"/>
  <c r="AV58" i="33"/>
  <c r="AW58" i="33"/>
  <c r="AX58" i="33"/>
  <c r="AY58" i="33"/>
  <c r="AZ58" i="33"/>
  <c r="BA58" i="33"/>
  <c r="BB58" i="33"/>
  <c r="BC58" i="33"/>
  <c r="BD58" i="33"/>
  <c r="BE58" i="33"/>
  <c r="BF58" i="33"/>
  <c r="BG58" i="33"/>
  <c r="BH58" i="33"/>
  <c r="BI58" i="33"/>
  <c r="BJ58" i="33"/>
  <c r="BK58" i="33"/>
  <c r="BL58" i="33"/>
  <c r="BM58" i="33"/>
  <c r="BN58" i="33"/>
  <c r="BO58" i="33"/>
  <c r="BP58" i="33"/>
  <c r="BQ58" i="33"/>
  <c r="BR58" i="33"/>
  <c r="BS58" i="33"/>
  <c r="BT58" i="33"/>
  <c r="D46" i="33"/>
  <c r="E46" i="33"/>
  <c r="F46" i="33"/>
  <c r="G46" i="33"/>
  <c r="H46" i="33"/>
  <c r="I46" i="33"/>
  <c r="J46" i="33"/>
  <c r="K46" i="33"/>
  <c r="L46" i="33"/>
  <c r="M46" i="33"/>
  <c r="N46" i="33"/>
  <c r="O46" i="33"/>
  <c r="P46" i="33"/>
  <c r="Q46" i="33"/>
  <c r="R46" i="33"/>
  <c r="S46" i="33"/>
  <c r="T46" i="33"/>
  <c r="U46" i="33"/>
  <c r="V46" i="33"/>
  <c r="W46" i="33"/>
  <c r="X46" i="33"/>
  <c r="Y46" i="33"/>
  <c r="Z46" i="33"/>
  <c r="AA46" i="33"/>
  <c r="AB46" i="33"/>
  <c r="AC46" i="33"/>
  <c r="AD46" i="33"/>
  <c r="AE46" i="33"/>
  <c r="AF46" i="33"/>
  <c r="AG46" i="33"/>
  <c r="AH46" i="33"/>
  <c r="AI46" i="33"/>
  <c r="AJ46" i="33"/>
  <c r="AK46" i="33"/>
  <c r="AL46" i="33"/>
  <c r="AM46" i="33"/>
  <c r="AN46" i="33"/>
  <c r="AO46" i="33"/>
  <c r="AP46" i="33"/>
  <c r="AQ46" i="33"/>
  <c r="AR46" i="33"/>
  <c r="AS46" i="33"/>
  <c r="AT46" i="33"/>
  <c r="AU46" i="33"/>
  <c r="AV46" i="33"/>
  <c r="AW46" i="33"/>
  <c r="AX46" i="33"/>
  <c r="AY46" i="33"/>
  <c r="AZ46" i="33"/>
  <c r="BA46" i="33"/>
  <c r="BB46" i="33"/>
  <c r="BC46" i="33"/>
  <c r="BD46" i="33"/>
  <c r="BE46" i="33"/>
  <c r="BF46" i="33"/>
  <c r="BG46" i="33"/>
  <c r="BH46" i="33"/>
  <c r="BI46" i="33"/>
  <c r="BJ46" i="33"/>
  <c r="BK46" i="33"/>
  <c r="BL46" i="33"/>
  <c r="BM46" i="33"/>
  <c r="BN46" i="33"/>
  <c r="BO46" i="33"/>
  <c r="BP46" i="33"/>
  <c r="BQ46" i="33"/>
  <c r="BR46" i="33"/>
  <c r="BS46" i="33"/>
  <c r="BT46" i="33"/>
  <c r="BT70" i="33"/>
  <c r="M6" i="60"/>
  <c r="D59" i="33"/>
  <c r="E59" i="33"/>
  <c r="F59" i="33"/>
  <c r="G59" i="33"/>
  <c r="H59" i="33"/>
  <c r="I59" i="33"/>
  <c r="J59" i="33"/>
  <c r="K59" i="33"/>
  <c r="L59" i="33"/>
  <c r="M59" i="33"/>
  <c r="N59" i="33"/>
  <c r="O59" i="33"/>
  <c r="P59" i="33"/>
  <c r="Q59" i="33"/>
  <c r="R59" i="33"/>
  <c r="S59" i="33"/>
  <c r="T59" i="33"/>
  <c r="U59" i="33"/>
  <c r="V59" i="33"/>
  <c r="W59" i="33"/>
  <c r="X59" i="33"/>
  <c r="Y59" i="33"/>
  <c r="Z59" i="33"/>
  <c r="AA59" i="33"/>
  <c r="AB59" i="33"/>
  <c r="AC59" i="33"/>
  <c r="AD59" i="33"/>
  <c r="AE59" i="33"/>
  <c r="AF59" i="33"/>
  <c r="AG59" i="33"/>
  <c r="AH59" i="33"/>
  <c r="AI59" i="33"/>
  <c r="AJ59" i="33"/>
  <c r="AK59" i="33"/>
  <c r="AL59" i="33"/>
  <c r="AM59" i="33"/>
  <c r="AN59" i="33"/>
  <c r="AO59" i="33"/>
  <c r="AP59" i="33"/>
  <c r="AQ59" i="33"/>
  <c r="AR59" i="33"/>
  <c r="AS59" i="33"/>
  <c r="AT59" i="33"/>
  <c r="AU59" i="33"/>
  <c r="AV59" i="33"/>
  <c r="AW59" i="33"/>
  <c r="AX59" i="33"/>
  <c r="AY59" i="33"/>
  <c r="AZ59" i="33"/>
  <c r="BA59" i="33"/>
  <c r="BB59" i="33"/>
  <c r="BC59" i="33"/>
  <c r="BD59" i="33"/>
  <c r="BE59" i="33"/>
  <c r="BF59" i="33"/>
  <c r="BG59" i="33"/>
  <c r="BH59" i="33"/>
  <c r="BI59" i="33"/>
  <c r="BJ59" i="33"/>
  <c r="BK59" i="33"/>
  <c r="BL59" i="33"/>
  <c r="BM59" i="33"/>
  <c r="BN59" i="33"/>
  <c r="BO59" i="33"/>
  <c r="BP59" i="33"/>
  <c r="BQ59" i="33"/>
  <c r="BR59" i="33"/>
  <c r="BS59" i="33"/>
  <c r="BT59" i="33"/>
  <c r="D47" i="33"/>
  <c r="E47" i="33"/>
  <c r="F47" i="33"/>
  <c r="G47" i="33"/>
  <c r="H47" i="33"/>
  <c r="I47" i="33"/>
  <c r="J47" i="33"/>
  <c r="K47" i="33"/>
  <c r="L47" i="33"/>
  <c r="M47" i="33"/>
  <c r="N47" i="33"/>
  <c r="O47" i="33"/>
  <c r="P47" i="33"/>
  <c r="Q47" i="33"/>
  <c r="R47" i="33"/>
  <c r="S47" i="33"/>
  <c r="T47" i="33"/>
  <c r="U47" i="33"/>
  <c r="V47" i="33"/>
  <c r="W47" i="33"/>
  <c r="X47" i="33"/>
  <c r="Y47" i="33"/>
  <c r="Z47" i="33"/>
  <c r="AA47" i="33"/>
  <c r="AB47" i="33"/>
  <c r="AC47" i="33"/>
  <c r="AD47" i="33"/>
  <c r="AE47" i="33"/>
  <c r="AF47" i="33"/>
  <c r="AG47" i="33"/>
  <c r="AH47" i="33"/>
  <c r="AI47" i="33"/>
  <c r="AJ47" i="33"/>
  <c r="AK47" i="33"/>
  <c r="AL47" i="33"/>
  <c r="AM47" i="33"/>
  <c r="AN47" i="33"/>
  <c r="AO47" i="33"/>
  <c r="AP47" i="33"/>
  <c r="AQ47" i="33"/>
  <c r="AR47" i="33"/>
  <c r="AS47" i="33"/>
  <c r="AT47" i="33"/>
  <c r="AU47" i="33"/>
  <c r="AV47" i="33"/>
  <c r="AW47" i="33"/>
  <c r="AX47" i="33"/>
  <c r="AY47" i="33"/>
  <c r="AZ47" i="33"/>
  <c r="BA47" i="33"/>
  <c r="BB47" i="33"/>
  <c r="BC47" i="33"/>
  <c r="BD47" i="33"/>
  <c r="BE47" i="33"/>
  <c r="BF47" i="33"/>
  <c r="BG47" i="33"/>
  <c r="BH47" i="33"/>
  <c r="BI47" i="33"/>
  <c r="BJ47" i="33"/>
  <c r="BK47" i="33"/>
  <c r="BL47" i="33"/>
  <c r="BM47" i="33"/>
  <c r="BN47" i="33"/>
  <c r="BO47" i="33"/>
  <c r="BP47" i="33"/>
  <c r="BQ47" i="33"/>
  <c r="BR47" i="33"/>
  <c r="BS47" i="33"/>
  <c r="BT47" i="33"/>
  <c r="BT71" i="33"/>
  <c r="N6" i="60"/>
  <c r="D60" i="33"/>
  <c r="E60" i="33"/>
  <c r="F60" i="33"/>
  <c r="G60" i="33"/>
  <c r="H60" i="33"/>
  <c r="I60" i="33"/>
  <c r="J60" i="33"/>
  <c r="K60" i="33"/>
  <c r="L60" i="33"/>
  <c r="M60" i="33"/>
  <c r="N60" i="33"/>
  <c r="O60" i="33"/>
  <c r="P60" i="33"/>
  <c r="Q60" i="33"/>
  <c r="R60" i="33"/>
  <c r="S60" i="33"/>
  <c r="T60" i="33"/>
  <c r="U60" i="33"/>
  <c r="V60" i="33"/>
  <c r="W60" i="33"/>
  <c r="X60" i="33"/>
  <c r="Y60" i="33"/>
  <c r="Z60" i="33"/>
  <c r="AA60" i="33"/>
  <c r="AB60" i="33"/>
  <c r="AC60" i="33"/>
  <c r="AD60" i="33"/>
  <c r="AE60" i="33"/>
  <c r="AF60" i="33"/>
  <c r="AG60" i="33"/>
  <c r="AH60" i="33"/>
  <c r="AI60" i="33"/>
  <c r="AJ60" i="33"/>
  <c r="AK60" i="33"/>
  <c r="AL60" i="33"/>
  <c r="AM60" i="33"/>
  <c r="AN60" i="33"/>
  <c r="AO60" i="33"/>
  <c r="AP60" i="33"/>
  <c r="AQ60" i="33"/>
  <c r="AR60" i="33"/>
  <c r="AS60" i="33"/>
  <c r="AT60" i="33"/>
  <c r="AU60" i="33"/>
  <c r="AV60" i="33"/>
  <c r="AW60" i="33"/>
  <c r="AX60" i="33"/>
  <c r="AY60" i="33"/>
  <c r="AZ60" i="33"/>
  <c r="BA60" i="33"/>
  <c r="BB60" i="33"/>
  <c r="BC60" i="33"/>
  <c r="BD60" i="33"/>
  <c r="BE60" i="33"/>
  <c r="BF60" i="33"/>
  <c r="BG60" i="33"/>
  <c r="BH60" i="33"/>
  <c r="BI60" i="33"/>
  <c r="BJ60" i="33"/>
  <c r="BK60" i="33"/>
  <c r="BL60" i="33"/>
  <c r="BM60" i="33"/>
  <c r="BN60" i="33"/>
  <c r="BO60" i="33"/>
  <c r="BP60" i="33"/>
  <c r="BQ60" i="33"/>
  <c r="BR60" i="33"/>
  <c r="BS60" i="33"/>
  <c r="BT60" i="33"/>
  <c r="D48" i="33"/>
  <c r="E48" i="33"/>
  <c r="F48" i="33"/>
  <c r="G48" i="33"/>
  <c r="H48" i="33"/>
  <c r="I48" i="33"/>
  <c r="J48" i="33"/>
  <c r="K48" i="33"/>
  <c r="L48" i="33"/>
  <c r="M48" i="33"/>
  <c r="N48" i="33"/>
  <c r="O48" i="33"/>
  <c r="P48" i="33"/>
  <c r="Q48" i="33"/>
  <c r="R48" i="33"/>
  <c r="S48" i="33"/>
  <c r="T48" i="33"/>
  <c r="U48" i="33"/>
  <c r="V48" i="33"/>
  <c r="W48" i="33"/>
  <c r="X48" i="33"/>
  <c r="Y48" i="33"/>
  <c r="Z48" i="33"/>
  <c r="AA48" i="33"/>
  <c r="AB48" i="33"/>
  <c r="AC48" i="33"/>
  <c r="AD48" i="33"/>
  <c r="AE48" i="33"/>
  <c r="AF48" i="33"/>
  <c r="AG48" i="33"/>
  <c r="AH48" i="33"/>
  <c r="AI48" i="33"/>
  <c r="AJ48" i="33"/>
  <c r="AK48" i="33"/>
  <c r="AL48" i="33"/>
  <c r="AM48" i="33"/>
  <c r="AN48" i="33"/>
  <c r="AO48" i="33"/>
  <c r="AP48" i="33"/>
  <c r="AQ48" i="33"/>
  <c r="AR48" i="33"/>
  <c r="AS48" i="33"/>
  <c r="AT48" i="33"/>
  <c r="AU48" i="33"/>
  <c r="AV48" i="33"/>
  <c r="AW48" i="33"/>
  <c r="AX48" i="33"/>
  <c r="AY48" i="33"/>
  <c r="AZ48" i="33"/>
  <c r="BA48" i="33"/>
  <c r="BB48" i="33"/>
  <c r="BC48" i="33"/>
  <c r="BD48" i="33"/>
  <c r="BE48" i="33"/>
  <c r="BF48" i="33"/>
  <c r="BG48" i="33"/>
  <c r="BH48" i="33"/>
  <c r="BI48" i="33"/>
  <c r="BJ48" i="33"/>
  <c r="BK48" i="33"/>
  <c r="BL48" i="33"/>
  <c r="BM48" i="33"/>
  <c r="BN48" i="33"/>
  <c r="BO48" i="33"/>
  <c r="BP48" i="33"/>
  <c r="BQ48" i="33"/>
  <c r="BR48" i="33"/>
  <c r="BS48" i="33"/>
  <c r="BT48" i="33"/>
  <c r="BT72" i="33"/>
  <c r="O6" i="60"/>
  <c r="D61" i="33"/>
  <c r="E61" i="33"/>
  <c r="F61" i="33"/>
  <c r="G61" i="33"/>
  <c r="H61" i="33"/>
  <c r="I61" i="33"/>
  <c r="J61" i="33"/>
  <c r="K61" i="33"/>
  <c r="L61" i="33"/>
  <c r="M61" i="33"/>
  <c r="N61" i="33"/>
  <c r="O61" i="33"/>
  <c r="P61" i="33"/>
  <c r="Q61" i="33"/>
  <c r="R61" i="33"/>
  <c r="S61" i="33"/>
  <c r="T61" i="33"/>
  <c r="U61" i="33"/>
  <c r="V61" i="33"/>
  <c r="W61" i="33"/>
  <c r="X61" i="33"/>
  <c r="Y61" i="33"/>
  <c r="Z61" i="33"/>
  <c r="AA61" i="33"/>
  <c r="AB61" i="33"/>
  <c r="AC61" i="33"/>
  <c r="AD61" i="33"/>
  <c r="AE61" i="33"/>
  <c r="AF61" i="33"/>
  <c r="AG61" i="33"/>
  <c r="AH61" i="33"/>
  <c r="AI61" i="33"/>
  <c r="AJ61" i="33"/>
  <c r="AK61" i="33"/>
  <c r="AL61" i="33"/>
  <c r="AM61" i="33"/>
  <c r="AN61" i="33"/>
  <c r="AO61" i="33"/>
  <c r="AP61" i="33"/>
  <c r="AQ61" i="33"/>
  <c r="AR61" i="33"/>
  <c r="AS61" i="33"/>
  <c r="AT61" i="33"/>
  <c r="AU61" i="33"/>
  <c r="AV61" i="33"/>
  <c r="AW61" i="33"/>
  <c r="AX61" i="33"/>
  <c r="AY61" i="33"/>
  <c r="AZ61" i="33"/>
  <c r="BA61" i="33"/>
  <c r="BB61" i="33"/>
  <c r="BC61" i="33"/>
  <c r="BD61" i="33"/>
  <c r="BE61" i="33"/>
  <c r="BF61" i="33"/>
  <c r="BG61" i="33"/>
  <c r="BH61" i="33"/>
  <c r="BI61" i="33"/>
  <c r="BJ61" i="33"/>
  <c r="BK61" i="33"/>
  <c r="BL61" i="33"/>
  <c r="BM61" i="33"/>
  <c r="BN61" i="33"/>
  <c r="BO61" i="33"/>
  <c r="BP61" i="33"/>
  <c r="BQ61" i="33"/>
  <c r="BR61" i="33"/>
  <c r="BS61" i="33"/>
  <c r="BT61" i="33"/>
  <c r="D49" i="33"/>
  <c r="E49" i="33"/>
  <c r="F49" i="33"/>
  <c r="G49" i="33"/>
  <c r="H49" i="33"/>
  <c r="I49" i="33"/>
  <c r="J49" i="33"/>
  <c r="K49" i="33"/>
  <c r="L49" i="33"/>
  <c r="M49" i="33"/>
  <c r="N49" i="33"/>
  <c r="O49" i="33"/>
  <c r="P49" i="33"/>
  <c r="Q49" i="33"/>
  <c r="R49" i="33"/>
  <c r="S49" i="33"/>
  <c r="T49" i="33"/>
  <c r="U49" i="33"/>
  <c r="V49" i="33"/>
  <c r="W49" i="33"/>
  <c r="X49" i="33"/>
  <c r="Y49" i="33"/>
  <c r="Z49" i="33"/>
  <c r="AA49" i="33"/>
  <c r="AB49" i="33"/>
  <c r="AC49" i="33"/>
  <c r="AD49" i="33"/>
  <c r="AE49" i="33"/>
  <c r="AF49" i="33"/>
  <c r="AG49" i="33"/>
  <c r="AH49" i="33"/>
  <c r="AI49" i="33"/>
  <c r="AJ49" i="33"/>
  <c r="AK49" i="33"/>
  <c r="AL49" i="33"/>
  <c r="AM49" i="33"/>
  <c r="AN49" i="33"/>
  <c r="AO49" i="33"/>
  <c r="AP49" i="33"/>
  <c r="AQ49" i="33"/>
  <c r="AR49" i="33"/>
  <c r="AS49" i="33"/>
  <c r="AT49" i="33"/>
  <c r="AU49" i="33"/>
  <c r="AV49" i="33"/>
  <c r="AW49" i="33"/>
  <c r="AX49" i="33"/>
  <c r="AY49" i="33"/>
  <c r="AZ49" i="33"/>
  <c r="BA49" i="33"/>
  <c r="BB49" i="33"/>
  <c r="BC49" i="33"/>
  <c r="BD49" i="33"/>
  <c r="BE49" i="33"/>
  <c r="BF49" i="33"/>
  <c r="BG49" i="33"/>
  <c r="BH49" i="33"/>
  <c r="BI49" i="33"/>
  <c r="BJ49" i="33"/>
  <c r="BK49" i="33"/>
  <c r="BL49" i="33"/>
  <c r="BM49" i="33"/>
  <c r="BN49" i="33"/>
  <c r="BO49" i="33"/>
  <c r="BP49" i="33"/>
  <c r="BQ49" i="33"/>
  <c r="BR49" i="33"/>
  <c r="BS49" i="33"/>
  <c r="BT49" i="33"/>
  <c r="BT73" i="33"/>
  <c r="D62" i="33"/>
  <c r="E62" i="33"/>
  <c r="F62" i="33"/>
  <c r="G62" i="33"/>
  <c r="H62" i="33"/>
  <c r="I62" i="33"/>
  <c r="J62" i="33"/>
  <c r="K62" i="33"/>
  <c r="L62" i="33"/>
  <c r="M62" i="33"/>
  <c r="N62" i="33"/>
  <c r="O62" i="33"/>
  <c r="P62" i="33"/>
  <c r="Q62" i="33"/>
  <c r="R62" i="33"/>
  <c r="S62" i="33"/>
  <c r="T62" i="33"/>
  <c r="U62" i="33"/>
  <c r="V62" i="33"/>
  <c r="W62" i="33"/>
  <c r="X62" i="33"/>
  <c r="Y62" i="33"/>
  <c r="Z62" i="33"/>
  <c r="AA62" i="33"/>
  <c r="AB62" i="33"/>
  <c r="AC62" i="33"/>
  <c r="AD62" i="33"/>
  <c r="AE62" i="33"/>
  <c r="AF62" i="33"/>
  <c r="AG62" i="33"/>
  <c r="AH62" i="33"/>
  <c r="AI62" i="33"/>
  <c r="AJ62" i="33"/>
  <c r="AK62" i="33"/>
  <c r="AL62" i="33"/>
  <c r="AM62" i="33"/>
  <c r="AN62" i="33"/>
  <c r="AO62" i="33"/>
  <c r="AP62" i="33"/>
  <c r="AQ62" i="33"/>
  <c r="AR62" i="33"/>
  <c r="AS62" i="33"/>
  <c r="AT62" i="33"/>
  <c r="AU62" i="33"/>
  <c r="AV62" i="33"/>
  <c r="AW62" i="33"/>
  <c r="AX62" i="33"/>
  <c r="AY62" i="33"/>
  <c r="AZ62" i="33"/>
  <c r="BA62" i="33"/>
  <c r="BB62" i="33"/>
  <c r="BC62" i="33"/>
  <c r="BD62" i="33"/>
  <c r="BE62" i="33"/>
  <c r="BF62" i="33"/>
  <c r="BG62" i="33"/>
  <c r="BH62" i="33"/>
  <c r="BI62" i="33"/>
  <c r="BJ62" i="33"/>
  <c r="BK62" i="33"/>
  <c r="BL62" i="33"/>
  <c r="BM62" i="33"/>
  <c r="BN62" i="33"/>
  <c r="BO62" i="33"/>
  <c r="BP62" i="33"/>
  <c r="BQ62" i="33"/>
  <c r="BR62" i="33"/>
  <c r="BS62" i="33"/>
  <c r="BT62" i="33"/>
  <c r="D50" i="33"/>
  <c r="E50" i="33"/>
  <c r="F50" i="33"/>
  <c r="G50" i="33"/>
  <c r="H50" i="33"/>
  <c r="I50" i="33"/>
  <c r="J50" i="33"/>
  <c r="K50" i="33"/>
  <c r="L50" i="33"/>
  <c r="M50" i="33"/>
  <c r="N50" i="33"/>
  <c r="O50" i="33"/>
  <c r="P50" i="33"/>
  <c r="Q50" i="33"/>
  <c r="R50" i="33"/>
  <c r="S50" i="33"/>
  <c r="T50" i="33"/>
  <c r="U50" i="33"/>
  <c r="V50" i="33"/>
  <c r="W50" i="33"/>
  <c r="X50" i="33"/>
  <c r="Y50" i="33"/>
  <c r="Z50" i="33"/>
  <c r="AA50" i="33"/>
  <c r="AB50" i="33"/>
  <c r="AC50" i="33"/>
  <c r="AD50" i="33"/>
  <c r="AE50" i="33"/>
  <c r="AF50" i="33"/>
  <c r="AG50" i="33"/>
  <c r="AH50" i="33"/>
  <c r="AI50" i="33"/>
  <c r="AJ50" i="33"/>
  <c r="AK50" i="33"/>
  <c r="AL50" i="33"/>
  <c r="AM50" i="33"/>
  <c r="AN50" i="33"/>
  <c r="AO50" i="33"/>
  <c r="AP50" i="33"/>
  <c r="AQ50" i="33"/>
  <c r="AR50" i="33"/>
  <c r="AS50" i="33"/>
  <c r="AT50" i="33"/>
  <c r="AU50" i="33"/>
  <c r="AV50" i="33"/>
  <c r="AW50" i="33"/>
  <c r="AX50" i="33"/>
  <c r="AY50" i="33"/>
  <c r="AZ50" i="33"/>
  <c r="BA50" i="33"/>
  <c r="BB50" i="33"/>
  <c r="BC50" i="33"/>
  <c r="BD50" i="33"/>
  <c r="BE50" i="33"/>
  <c r="BF50" i="33"/>
  <c r="BG50" i="33"/>
  <c r="BH50" i="33"/>
  <c r="BI50" i="33"/>
  <c r="BJ50" i="33"/>
  <c r="BK50" i="33"/>
  <c r="BL50" i="33"/>
  <c r="BM50" i="33"/>
  <c r="BN50" i="33"/>
  <c r="BO50" i="33"/>
  <c r="BP50" i="33"/>
  <c r="BQ50" i="33"/>
  <c r="BR50" i="33"/>
  <c r="BS50" i="33"/>
  <c r="BT50" i="33"/>
  <c r="BT74" i="33"/>
  <c r="D63" i="33"/>
  <c r="E63" i="33"/>
  <c r="F63" i="33"/>
  <c r="G63" i="33"/>
  <c r="H63" i="33"/>
  <c r="I63" i="33"/>
  <c r="J63" i="33"/>
  <c r="K63" i="33"/>
  <c r="L63" i="33"/>
  <c r="M63" i="33"/>
  <c r="N63" i="33"/>
  <c r="O63" i="33"/>
  <c r="P63" i="33"/>
  <c r="Q63" i="33"/>
  <c r="R63" i="33"/>
  <c r="S63" i="33"/>
  <c r="T63" i="33"/>
  <c r="U63" i="33"/>
  <c r="V63" i="33"/>
  <c r="W63" i="33"/>
  <c r="X63" i="33"/>
  <c r="Y63" i="33"/>
  <c r="Z63" i="33"/>
  <c r="AA63" i="33"/>
  <c r="AB63" i="33"/>
  <c r="AC63" i="33"/>
  <c r="AD63" i="33"/>
  <c r="AE63" i="33"/>
  <c r="AF63" i="33"/>
  <c r="AG63" i="33"/>
  <c r="AH63" i="33"/>
  <c r="AI63" i="33"/>
  <c r="AJ63" i="33"/>
  <c r="AK63" i="33"/>
  <c r="AL63" i="33"/>
  <c r="AM63" i="33"/>
  <c r="AN63" i="33"/>
  <c r="AO63" i="33"/>
  <c r="AP63" i="33"/>
  <c r="AQ63" i="33"/>
  <c r="AR63" i="33"/>
  <c r="AS63" i="33"/>
  <c r="AT63" i="33"/>
  <c r="AU63" i="33"/>
  <c r="AV63" i="33"/>
  <c r="AW63" i="33"/>
  <c r="AX63" i="33"/>
  <c r="AY63" i="33"/>
  <c r="AZ63" i="33"/>
  <c r="BA63" i="33"/>
  <c r="BB63" i="33"/>
  <c r="BC63" i="33"/>
  <c r="BD63" i="33"/>
  <c r="BE63" i="33"/>
  <c r="BF63" i="33"/>
  <c r="BG63" i="33"/>
  <c r="BH63" i="33"/>
  <c r="BI63" i="33"/>
  <c r="BJ63" i="33"/>
  <c r="BK63" i="33"/>
  <c r="BL63" i="33"/>
  <c r="BM63" i="33"/>
  <c r="BN63" i="33"/>
  <c r="BO63" i="33"/>
  <c r="BP63" i="33"/>
  <c r="BQ63" i="33"/>
  <c r="BR63" i="33"/>
  <c r="BS63" i="33"/>
  <c r="BT63" i="33"/>
  <c r="D51" i="33"/>
  <c r="E51" i="33"/>
  <c r="F51" i="33"/>
  <c r="G51" i="33"/>
  <c r="H51" i="33"/>
  <c r="I51" i="33"/>
  <c r="J51" i="33"/>
  <c r="K51" i="33"/>
  <c r="L51" i="33"/>
  <c r="M51" i="33"/>
  <c r="N51" i="33"/>
  <c r="O51" i="33"/>
  <c r="P51" i="33"/>
  <c r="Q51" i="33"/>
  <c r="R51" i="33"/>
  <c r="S51" i="33"/>
  <c r="T51" i="33"/>
  <c r="U51" i="33"/>
  <c r="V51" i="33"/>
  <c r="W51" i="33"/>
  <c r="X51" i="33"/>
  <c r="Y51" i="33"/>
  <c r="Z51" i="33"/>
  <c r="AA51" i="33"/>
  <c r="AB51" i="33"/>
  <c r="AC51" i="33"/>
  <c r="AD51" i="33"/>
  <c r="AE51" i="33"/>
  <c r="AF51" i="33"/>
  <c r="AG51" i="33"/>
  <c r="AH51" i="33"/>
  <c r="AI51" i="33"/>
  <c r="AJ51" i="33"/>
  <c r="AK51" i="33"/>
  <c r="AL51" i="33"/>
  <c r="AM51" i="33"/>
  <c r="AN51" i="33"/>
  <c r="AO51" i="33"/>
  <c r="AP51" i="33"/>
  <c r="AQ51" i="33"/>
  <c r="AR51" i="33"/>
  <c r="AS51" i="33"/>
  <c r="AT51" i="33"/>
  <c r="AU51" i="33"/>
  <c r="AV51" i="33"/>
  <c r="AW51" i="33"/>
  <c r="AX51" i="33"/>
  <c r="AY51" i="33"/>
  <c r="AZ51" i="33"/>
  <c r="BA51" i="33"/>
  <c r="BB51" i="33"/>
  <c r="BC51" i="33"/>
  <c r="BD51" i="33"/>
  <c r="BE51" i="33"/>
  <c r="BF51" i="33"/>
  <c r="BG51" i="33"/>
  <c r="BH51" i="33"/>
  <c r="BI51" i="33"/>
  <c r="BJ51" i="33"/>
  <c r="BK51" i="33"/>
  <c r="BL51" i="33"/>
  <c r="BM51" i="33"/>
  <c r="BN51" i="33"/>
  <c r="BO51" i="33"/>
  <c r="BP51" i="33"/>
  <c r="BQ51" i="33"/>
  <c r="BR51" i="33"/>
  <c r="BS51" i="33"/>
  <c r="BT51" i="33"/>
  <c r="BT75" i="33"/>
  <c r="G14" i="35"/>
  <c r="G15" i="35"/>
  <c r="G16" i="35"/>
  <c r="G17" i="35"/>
  <c r="G18" i="35"/>
  <c r="G19" i="35"/>
  <c r="G20" i="35"/>
  <c r="G26" i="35"/>
  <c r="G27" i="35"/>
  <c r="G28" i="35"/>
  <c r="G29" i="35"/>
  <c r="G30" i="35"/>
  <c r="G32" i="35"/>
  <c r="G57" i="35"/>
  <c r="G39" i="35"/>
  <c r="G44" i="35"/>
  <c r="G35" i="35"/>
  <c r="G36" i="35"/>
  <c r="G24" i="35"/>
  <c r="G25" i="35"/>
  <c r="G22" i="35"/>
  <c r="G59" i="35"/>
  <c r="G34" i="35"/>
  <c r="G21" i="35"/>
  <c r="G23" i="35"/>
  <c r="G60" i="35"/>
  <c r="G37" i="35"/>
  <c r="G38" i="35"/>
  <c r="G45" i="35"/>
  <c r="G46" i="35"/>
  <c r="I14" i="35"/>
  <c r="I15" i="35"/>
  <c r="I16" i="35"/>
  <c r="I17" i="35"/>
  <c r="I18" i="35"/>
  <c r="I19" i="35"/>
  <c r="I20" i="35"/>
  <c r="I26" i="35"/>
  <c r="I27" i="35"/>
  <c r="I28" i="35"/>
  <c r="I29" i="35"/>
  <c r="I30" i="35"/>
  <c r="I32" i="35"/>
  <c r="I57" i="35"/>
  <c r="I39" i="35"/>
  <c r="I44" i="35"/>
  <c r="I35" i="35"/>
  <c r="I36" i="35"/>
  <c r="I24" i="35"/>
  <c r="I25" i="35"/>
  <c r="I22" i="35"/>
  <c r="I59" i="35"/>
  <c r="I34" i="35"/>
  <c r="I21" i="35"/>
  <c r="I23" i="35"/>
  <c r="I60" i="35"/>
  <c r="I37" i="35"/>
  <c r="I38" i="35"/>
  <c r="I45" i="35"/>
  <c r="I46" i="35"/>
  <c r="K14" i="35"/>
  <c r="K15" i="35"/>
  <c r="K16" i="35"/>
  <c r="K17" i="35"/>
  <c r="K18" i="35"/>
  <c r="K19" i="35"/>
  <c r="K20" i="35"/>
  <c r="K26" i="35"/>
  <c r="K27" i="35"/>
  <c r="K28" i="35"/>
  <c r="K29" i="35"/>
  <c r="K30" i="35"/>
  <c r="K32" i="35"/>
  <c r="K57" i="35"/>
  <c r="K39" i="35"/>
  <c r="K44" i="35"/>
  <c r="K35" i="35"/>
  <c r="K36" i="35"/>
  <c r="K24" i="35"/>
  <c r="K25" i="35"/>
  <c r="K22" i="35"/>
  <c r="K59" i="35"/>
  <c r="K34" i="35"/>
  <c r="K21" i="35"/>
  <c r="K23" i="35"/>
  <c r="K60" i="35"/>
  <c r="K37" i="35"/>
  <c r="K38" i="35"/>
  <c r="K45" i="35"/>
  <c r="K46" i="35"/>
  <c r="M14" i="35"/>
  <c r="M15" i="35"/>
  <c r="M16" i="35"/>
  <c r="M17" i="35"/>
  <c r="M18" i="35"/>
  <c r="M19" i="35"/>
  <c r="M20" i="35"/>
  <c r="M26" i="35"/>
  <c r="M27" i="35"/>
  <c r="M28" i="35"/>
  <c r="M29" i="35"/>
  <c r="M30" i="35"/>
  <c r="M32" i="35"/>
  <c r="M57" i="35"/>
  <c r="M39" i="35"/>
  <c r="M44" i="35"/>
  <c r="M35" i="35"/>
  <c r="M36" i="35"/>
  <c r="M24" i="35"/>
  <c r="M25" i="35"/>
  <c r="M22" i="35"/>
  <c r="M59" i="35"/>
  <c r="M34" i="35"/>
  <c r="M21" i="35"/>
  <c r="M23" i="35"/>
  <c r="M60" i="35"/>
  <c r="M37" i="35"/>
  <c r="M38" i="35"/>
  <c r="M45" i="35"/>
  <c r="M46" i="35"/>
  <c r="O14" i="35"/>
  <c r="O15" i="35"/>
  <c r="O16" i="35"/>
  <c r="O17" i="35"/>
  <c r="O18" i="35"/>
  <c r="O19" i="35"/>
  <c r="O20" i="35"/>
  <c r="O26" i="35"/>
  <c r="O27" i="35"/>
  <c r="O28" i="35"/>
  <c r="O29" i="35"/>
  <c r="O30" i="35"/>
  <c r="O32" i="35"/>
  <c r="O57" i="35"/>
  <c r="O39" i="35"/>
  <c r="O44" i="35"/>
  <c r="O35" i="35"/>
  <c r="O36" i="35"/>
  <c r="O24" i="35"/>
  <c r="O25" i="35"/>
  <c r="O22" i="35"/>
  <c r="O59" i="35"/>
  <c r="O34" i="35"/>
  <c r="O21" i="35"/>
  <c r="O23" i="35"/>
  <c r="O60" i="35"/>
  <c r="O37" i="35"/>
  <c r="O38" i="35"/>
  <c r="O45" i="35"/>
  <c r="O46" i="35"/>
  <c r="S15" i="35"/>
  <c r="S16" i="35"/>
  <c r="S17" i="35"/>
  <c r="S18" i="35"/>
  <c r="S19" i="35"/>
  <c r="S20" i="35"/>
  <c r="S26" i="35"/>
  <c r="S27" i="35"/>
  <c r="S28" i="35"/>
  <c r="S29" i="35"/>
  <c r="S30" i="35"/>
  <c r="S31" i="35"/>
  <c r="S32" i="35"/>
  <c r="S14" i="35"/>
  <c r="S57" i="35"/>
  <c r="S39" i="35"/>
  <c r="S44" i="35"/>
  <c r="S24" i="35"/>
  <c r="S25" i="35"/>
  <c r="S35" i="35"/>
  <c r="S36" i="35"/>
  <c r="S22" i="35"/>
  <c r="S59" i="35"/>
  <c r="S21" i="35"/>
  <c r="S23" i="35"/>
  <c r="S33" i="35"/>
  <c r="S34" i="35"/>
  <c r="S60" i="35"/>
  <c r="S37" i="35"/>
  <c r="S38" i="35"/>
  <c r="S45" i="35"/>
  <c r="S46" i="35"/>
  <c r="D17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E38" i="73"/>
  <c r="E39" i="73"/>
  <c r="E40" i="73"/>
  <c r="E41" i="73"/>
  <c r="E42" i="73"/>
  <c r="E43" i="73"/>
  <c r="E44" i="73"/>
  <c r="D11" i="73"/>
  <c r="F38" i="73"/>
  <c r="F39" i="73"/>
  <c r="F40" i="73"/>
  <c r="F41" i="73"/>
  <c r="F42" i="73"/>
  <c r="F43" i="73"/>
  <c r="F44" i="73"/>
  <c r="G38" i="73"/>
  <c r="G39" i="73"/>
  <c r="G40" i="73"/>
  <c r="G41" i="73"/>
  <c r="G42" i="73"/>
  <c r="G43" i="73"/>
  <c r="G44" i="73"/>
  <c r="H38" i="73"/>
  <c r="H39" i="73"/>
  <c r="H40" i="73"/>
  <c r="H41" i="73"/>
  <c r="H42" i="73"/>
  <c r="H43" i="73"/>
  <c r="H44" i="73"/>
  <c r="C38" i="73"/>
  <c r="C39" i="73"/>
  <c r="C40" i="73"/>
  <c r="C41" i="73"/>
  <c r="D38" i="73"/>
  <c r="I38" i="73"/>
  <c r="D8" i="73"/>
  <c r="J38" i="73"/>
  <c r="K38" i="73"/>
  <c r="L38" i="73"/>
  <c r="M38" i="73"/>
  <c r="N38" i="73"/>
  <c r="O38" i="73"/>
  <c r="P38" i="73"/>
  <c r="D39" i="73"/>
  <c r="I39" i="73"/>
  <c r="J39" i="73"/>
  <c r="K39" i="73"/>
  <c r="L39" i="73"/>
  <c r="M39" i="73"/>
  <c r="N39" i="73"/>
  <c r="O39" i="73"/>
  <c r="P39" i="73"/>
  <c r="D40" i="73"/>
  <c r="I40" i="73"/>
  <c r="J40" i="73"/>
  <c r="K40" i="73"/>
  <c r="L40" i="73"/>
  <c r="M40" i="73"/>
  <c r="N40" i="73"/>
  <c r="O40" i="73"/>
  <c r="P40" i="73"/>
  <c r="D41" i="73"/>
  <c r="I41" i="73"/>
  <c r="J41" i="73"/>
  <c r="K41" i="73"/>
  <c r="L41" i="73"/>
  <c r="M41" i="73"/>
  <c r="N41" i="73"/>
  <c r="O41" i="73"/>
  <c r="P41" i="73"/>
  <c r="C42" i="73"/>
  <c r="D42" i="73"/>
  <c r="I42" i="73"/>
  <c r="J42" i="73"/>
  <c r="K42" i="73"/>
  <c r="L42" i="73"/>
  <c r="M42" i="73"/>
  <c r="N42" i="73"/>
  <c r="O42" i="73"/>
  <c r="P42" i="73"/>
  <c r="C43" i="73"/>
  <c r="D43" i="73"/>
  <c r="I43" i="73"/>
  <c r="J43" i="73"/>
  <c r="K43" i="73"/>
  <c r="L43" i="73"/>
  <c r="M43" i="73"/>
  <c r="N43" i="73"/>
  <c r="O43" i="73"/>
  <c r="P43" i="73"/>
  <c r="B53" i="73"/>
  <c r="P26" i="73"/>
  <c r="P27" i="73"/>
  <c r="P28" i="73"/>
  <c r="P29" i="73"/>
  <c r="P30" i="73"/>
  <c r="P31" i="73"/>
  <c r="K44" i="73"/>
  <c r="L44" i="73"/>
  <c r="M44" i="73"/>
  <c r="K32" i="73"/>
  <c r="L32" i="73"/>
  <c r="M32" i="73"/>
  <c r="E32" i="73"/>
  <c r="F32" i="73"/>
  <c r="G32" i="73"/>
  <c r="H32" i="73"/>
  <c r="O44" i="73"/>
  <c r="N44" i="73"/>
  <c r="J44" i="73"/>
  <c r="I44" i="73"/>
  <c r="D44" i="73"/>
  <c r="C44" i="73"/>
  <c r="D32" i="73"/>
  <c r="I32" i="73"/>
  <c r="J32" i="73"/>
  <c r="N32" i="73"/>
  <c r="O32" i="73"/>
  <c r="C32" i="73"/>
  <c r="O307" i="28"/>
  <c r="O287" i="28"/>
  <c r="O315" i="28"/>
  <c r="O279" i="28"/>
  <c r="O316" i="28"/>
  <c r="P307" i="28"/>
  <c r="P287" i="28"/>
  <c r="P315" i="28"/>
  <c r="P279" i="28"/>
  <c r="P282" i="28"/>
  <c r="P316" i="28"/>
  <c r="Q6" i="60"/>
  <c r="P1663" i="62"/>
  <c r="O1663" i="62"/>
  <c r="N1663" i="62"/>
  <c r="M1663" i="62"/>
  <c r="P1662" i="62"/>
  <c r="O1662" i="62"/>
  <c r="N1662" i="62"/>
  <c r="M1662" i="62"/>
  <c r="J1662" i="62"/>
  <c r="G1662" i="62"/>
  <c r="F1662" i="62"/>
  <c r="P1661" i="62"/>
  <c r="O1661" i="62"/>
  <c r="N1661" i="62"/>
  <c r="M1661" i="62"/>
  <c r="J1661" i="62"/>
  <c r="G1661" i="62"/>
  <c r="F1661" i="62"/>
  <c r="P1660" i="62"/>
  <c r="O1660" i="62"/>
  <c r="N1660" i="62"/>
  <c r="M1660" i="62"/>
  <c r="J1660" i="62"/>
  <c r="G1660" i="62"/>
  <c r="F1660" i="62"/>
  <c r="P1659" i="62"/>
  <c r="O1659" i="62"/>
  <c r="N1659" i="62"/>
  <c r="M1659" i="62"/>
  <c r="J1659" i="62"/>
  <c r="G1659" i="62"/>
  <c r="F1659" i="62"/>
  <c r="P1658" i="62"/>
  <c r="O1658" i="62"/>
  <c r="N1658" i="62"/>
  <c r="M1658" i="62"/>
  <c r="J1658" i="62"/>
  <c r="G1658" i="62"/>
  <c r="F1658" i="62"/>
  <c r="P1657" i="62"/>
  <c r="O1657" i="62"/>
  <c r="N1657" i="62"/>
  <c r="M1657" i="62"/>
  <c r="J1657" i="62"/>
  <c r="G1657" i="62"/>
  <c r="F1657" i="62"/>
  <c r="P1656" i="62"/>
  <c r="O1656" i="62"/>
  <c r="N1656" i="62"/>
  <c r="M1656" i="62"/>
  <c r="J1656" i="62"/>
  <c r="G1656" i="62"/>
  <c r="F1656" i="62"/>
  <c r="P1655" i="62"/>
  <c r="O1655" i="62"/>
  <c r="N1655" i="62"/>
  <c r="M1655" i="62"/>
  <c r="J1655" i="62"/>
  <c r="G1655" i="62"/>
  <c r="F1655" i="62"/>
  <c r="P1654" i="62"/>
  <c r="O1654" i="62"/>
  <c r="N1654" i="62"/>
  <c r="M1654" i="62"/>
  <c r="J1654" i="62"/>
  <c r="G1654" i="62"/>
  <c r="F1654" i="62"/>
  <c r="P1653" i="62"/>
  <c r="O1653" i="62"/>
  <c r="N1653" i="62"/>
  <c r="M1653" i="62"/>
  <c r="J1653" i="62"/>
  <c r="G1653" i="62"/>
  <c r="F1653" i="62"/>
  <c r="P1652" i="62"/>
  <c r="O1652" i="62"/>
  <c r="N1652" i="62"/>
  <c r="M1652" i="62"/>
  <c r="J1652" i="62"/>
  <c r="G1652" i="62"/>
  <c r="F1652" i="62"/>
  <c r="P1651" i="62"/>
  <c r="O1651" i="62"/>
  <c r="N1651" i="62"/>
  <c r="M1651" i="62"/>
  <c r="J1651" i="62"/>
  <c r="G1651" i="62"/>
  <c r="F1651" i="62"/>
  <c r="P1650" i="62"/>
  <c r="O1650" i="62"/>
  <c r="N1650" i="62"/>
  <c r="M1650" i="62"/>
  <c r="J1650" i="62"/>
  <c r="G1650" i="62"/>
  <c r="F1650" i="62"/>
  <c r="P1649" i="62"/>
  <c r="O1649" i="62"/>
  <c r="N1649" i="62"/>
  <c r="M1649" i="62"/>
  <c r="J1649" i="62"/>
  <c r="G1649" i="62"/>
  <c r="F1649" i="62"/>
  <c r="P1648" i="62"/>
  <c r="O1648" i="62"/>
  <c r="N1648" i="62"/>
  <c r="M1648" i="62"/>
  <c r="J1648" i="62"/>
  <c r="G1648" i="62"/>
  <c r="F1648" i="62"/>
  <c r="P1647" i="62"/>
  <c r="O1647" i="62"/>
  <c r="N1647" i="62"/>
  <c r="M1647" i="62"/>
  <c r="J1647" i="62"/>
  <c r="G1647" i="62"/>
  <c r="F1647" i="62"/>
  <c r="P1646" i="62"/>
  <c r="O1646" i="62"/>
  <c r="N1646" i="62"/>
  <c r="M1646" i="62"/>
  <c r="J1646" i="62"/>
  <c r="G1646" i="62"/>
  <c r="F1646" i="62"/>
  <c r="P1645" i="62"/>
  <c r="O1645" i="62"/>
  <c r="N1645" i="62"/>
  <c r="M1645" i="62"/>
  <c r="J1645" i="62"/>
  <c r="G1645" i="62"/>
  <c r="F1645" i="62"/>
  <c r="P1644" i="62"/>
  <c r="O1644" i="62"/>
  <c r="N1644" i="62"/>
  <c r="M1644" i="62"/>
  <c r="J1644" i="62"/>
  <c r="G1644" i="62"/>
  <c r="F1644" i="62"/>
  <c r="P1643" i="62"/>
  <c r="O1643" i="62"/>
  <c r="N1643" i="62"/>
  <c r="M1643" i="62"/>
  <c r="J1643" i="62"/>
  <c r="G1643" i="62"/>
  <c r="F1643" i="62"/>
  <c r="P1642" i="62"/>
  <c r="O1642" i="62"/>
  <c r="N1642" i="62"/>
  <c r="M1642" i="62"/>
  <c r="J1642" i="62"/>
  <c r="G1642" i="62"/>
  <c r="F1642" i="62"/>
  <c r="P1641" i="62"/>
  <c r="O1641" i="62"/>
  <c r="N1641" i="62"/>
  <c r="M1641" i="62"/>
  <c r="J1641" i="62"/>
  <c r="G1641" i="62"/>
  <c r="F1641" i="62"/>
  <c r="P1640" i="62"/>
  <c r="O1640" i="62"/>
  <c r="N1640" i="62"/>
  <c r="M1640" i="62"/>
  <c r="J1640" i="62"/>
  <c r="G1640" i="62"/>
  <c r="F1640" i="62"/>
  <c r="P1639" i="62"/>
  <c r="O1639" i="62"/>
  <c r="N1639" i="62"/>
  <c r="M1639" i="62"/>
  <c r="J1639" i="62"/>
  <c r="G1639" i="62"/>
  <c r="F1639" i="62"/>
  <c r="P1638" i="62"/>
  <c r="O1638" i="62"/>
  <c r="N1638" i="62"/>
  <c r="M1638" i="62"/>
  <c r="J1638" i="62"/>
  <c r="G1638" i="62"/>
  <c r="F1638" i="62"/>
  <c r="P1637" i="62"/>
  <c r="O1637" i="62"/>
  <c r="N1637" i="62"/>
  <c r="M1637" i="62"/>
  <c r="J1637" i="62"/>
  <c r="G1637" i="62"/>
  <c r="F1637" i="62"/>
  <c r="P1636" i="62"/>
  <c r="O1636" i="62"/>
  <c r="N1636" i="62"/>
  <c r="M1636" i="62"/>
  <c r="J1636" i="62"/>
  <c r="G1636" i="62"/>
  <c r="F1636" i="62"/>
  <c r="P1635" i="62"/>
  <c r="O1635" i="62"/>
  <c r="N1635" i="62"/>
  <c r="M1635" i="62"/>
  <c r="J1635" i="62"/>
  <c r="G1635" i="62"/>
  <c r="F1635" i="62"/>
  <c r="P1634" i="62"/>
  <c r="O1634" i="62"/>
  <c r="N1634" i="62"/>
  <c r="M1634" i="62"/>
  <c r="J1634" i="62"/>
  <c r="G1634" i="62"/>
  <c r="F1634" i="62"/>
  <c r="P1633" i="62"/>
  <c r="O1633" i="62"/>
  <c r="N1633" i="62"/>
  <c r="M1633" i="62"/>
  <c r="J1633" i="62"/>
  <c r="G1633" i="62"/>
  <c r="F1633" i="62"/>
  <c r="P1632" i="62"/>
  <c r="O1632" i="62"/>
  <c r="N1632" i="62"/>
  <c r="M1632" i="62"/>
  <c r="J1632" i="62"/>
  <c r="G1632" i="62"/>
  <c r="F1632" i="62"/>
  <c r="P1631" i="62"/>
  <c r="O1631" i="62"/>
  <c r="N1631" i="62"/>
  <c r="M1631" i="62"/>
  <c r="J1631" i="62"/>
  <c r="G1631" i="62"/>
  <c r="F1631" i="62"/>
  <c r="P1630" i="62"/>
  <c r="O1630" i="62"/>
  <c r="N1630" i="62"/>
  <c r="M1630" i="62"/>
  <c r="J1630" i="62"/>
  <c r="G1630" i="62"/>
  <c r="F1630" i="62"/>
  <c r="P1629" i="62"/>
  <c r="O1629" i="62"/>
  <c r="N1629" i="62"/>
  <c r="M1629" i="62"/>
  <c r="J1629" i="62"/>
  <c r="G1629" i="62"/>
  <c r="F1629" i="62"/>
  <c r="P1628" i="62"/>
  <c r="O1628" i="62"/>
  <c r="N1628" i="62"/>
  <c r="M1628" i="62"/>
  <c r="J1628" i="62"/>
  <c r="G1628" i="62"/>
  <c r="F1628" i="62"/>
  <c r="P1627" i="62"/>
  <c r="O1627" i="62"/>
  <c r="N1627" i="62"/>
  <c r="M1627" i="62"/>
  <c r="J1627" i="62"/>
  <c r="G1627" i="62"/>
  <c r="F1627" i="62"/>
  <c r="P1626" i="62"/>
  <c r="O1626" i="62"/>
  <c r="N1626" i="62"/>
  <c r="M1626" i="62"/>
  <c r="J1626" i="62"/>
  <c r="G1626" i="62"/>
  <c r="F1626" i="62"/>
  <c r="P1625" i="62"/>
  <c r="O1625" i="62"/>
  <c r="N1625" i="62"/>
  <c r="M1625" i="62"/>
  <c r="J1625" i="62"/>
  <c r="G1625" i="62"/>
  <c r="F1625" i="62"/>
  <c r="P1624" i="62"/>
  <c r="O1624" i="62"/>
  <c r="N1624" i="62"/>
  <c r="M1624" i="62"/>
  <c r="J1624" i="62"/>
  <c r="G1624" i="62"/>
  <c r="F1624" i="62"/>
  <c r="P1623" i="62"/>
  <c r="O1623" i="62"/>
  <c r="N1623" i="62"/>
  <c r="M1623" i="62"/>
  <c r="J1623" i="62"/>
  <c r="G1623" i="62"/>
  <c r="F1623" i="62"/>
  <c r="P1622" i="62"/>
  <c r="O1622" i="62"/>
  <c r="N1622" i="62"/>
  <c r="M1622" i="62"/>
  <c r="J1622" i="62"/>
  <c r="G1622" i="62"/>
  <c r="F1622" i="62"/>
  <c r="P1621" i="62"/>
  <c r="O1621" i="62"/>
  <c r="N1621" i="62"/>
  <c r="M1621" i="62"/>
  <c r="J1621" i="62"/>
  <c r="G1621" i="62"/>
  <c r="F1621" i="62"/>
  <c r="P1620" i="62"/>
  <c r="O1620" i="62"/>
  <c r="N1620" i="62"/>
  <c r="M1620" i="62"/>
  <c r="J1620" i="62"/>
  <c r="G1620" i="62"/>
  <c r="F1620" i="62"/>
  <c r="P1619" i="62"/>
  <c r="O1619" i="62"/>
  <c r="N1619" i="62"/>
  <c r="M1619" i="62"/>
  <c r="J1619" i="62"/>
  <c r="G1619" i="62"/>
  <c r="F1619" i="62"/>
  <c r="P1618" i="62"/>
  <c r="O1618" i="62"/>
  <c r="N1618" i="62"/>
  <c r="M1618" i="62"/>
  <c r="J1618" i="62"/>
  <c r="G1618" i="62"/>
  <c r="F1618" i="62"/>
  <c r="P1617" i="62"/>
  <c r="O1617" i="62"/>
  <c r="N1617" i="62"/>
  <c r="M1617" i="62"/>
  <c r="J1617" i="62"/>
  <c r="G1617" i="62"/>
  <c r="F1617" i="62"/>
  <c r="P1616" i="62"/>
  <c r="O1616" i="62"/>
  <c r="N1616" i="62"/>
  <c r="M1616" i="62"/>
  <c r="J1616" i="62"/>
  <c r="G1616" i="62"/>
  <c r="F1616" i="62"/>
  <c r="P1615" i="62"/>
  <c r="O1615" i="62"/>
  <c r="N1615" i="62"/>
  <c r="M1615" i="62"/>
  <c r="J1615" i="62"/>
  <c r="G1615" i="62"/>
  <c r="F1615" i="62"/>
  <c r="P1614" i="62"/>
  <c r="O1614" i="62"/>
  <c r="N1614" i="62"/>
  <c r="M1614" i="62"/>
  <c r="J1614" i="62"/>
  <c r="G1614" i="62"/>
  <c r="F1614" i="62"/>
  <c r="P1613" i="62"/>
  <c r="O1613" i="62"/>
  <c r="N1613" i="62"/>
  <c r="M1613" i="62"/>
  <c r="J1613" i="62"/>
  <c r="G1613" i="62"/>
  <c r="F1613" i="62"/>
  <c r="P1612" i="62"/>
  <c r="O1612" i="62"/>
  <c r="N1612" i="62"/>
  <c r="M1612" i="62"/>
  <c r="J1612" i="62"/>
  <c r="G1612" i="62"/>
  <c r="F1612" i="62"/>
  <c r="P1611" i="62"/>
  <c r="O1611" i="62"/>
  <c r="N1611" i="62"/>
  <c r="M1611" i="62"/>
  <c r="J1611" i="62"/>
  <c r="G1611" i="62"/>
  <c r="F1611" i="62"/>
  <c r="P1610" i="62"/>
  <c r="O1610" i="62"/>
  <c r="N1610" i="62"/>
  <c r="M1610" i="62"/>
  <c r="J1610" i="62"/>
  <c r="G1610" i="62"/>
  <c r="F1610" i="62"/>
  <c r="P1609" i="62"/>
  <c r="O1609" i="62"/>
  <c r="N1609" i="62"/>
  <c r="M1609" i="62"/>
  <c r="J1609" i="62"/>
  <c r="G1609" i="62"/>
  <c r="F1609" i="62"/>
  <c r="P1608" i="62"/>
  <c r="O1608" i="62"/>
  <c r="N1608" i="62"/>
  <c r="M1608" i="62"/>
  <c r="J1608" i="62"/>
  <c r="G1608" i="62"/>
  <c r="F1608" i="62"/>
  <c r="P1607" i="62"/>
  <c r="O1607" i="62"/>
  <c r="N1607" i="62"/>
  <c r="M1607" i="62"/>
  <c r="J1607" i="62"/>
  <c r="G1607" i="62"/>
  <c r="F1607" i="62"/>
  <c r="P1606" i="62"/>
  <c r="O1606" i="62"/>
  <c r="N1606" i="62"/>
  <c r="M1606" i="62"/>
  <c r="J1606" i="62"/>
  <c r="G1606" i="62"/>
  <c r="F1606" i="62"/>
  <c r="P1605" i="62"/>
  <c r="O1605" i="62"/>
  <c r="N1605" i="62"/>
  <c r="M1605" i="62"/>
  <c r="J1605" i="62"/>
  <c r="G1605" i="62"/>
  <c r="F1605" i="62"/>
  <c r="P1604" i="62"/>
  <c r="O1604" i="62"/>
  <c r="N1604" i="62"/>
  <c r="M1604" i="62"/>
  <c r="J1604" i="62"/>
  <c r="G1604" i="62"/>
  <c r="F1604" i="62"/>
  <c r="P1603" i="62"/>
  <c r="O1603" i="62"/>
  <c r="N1603" i="62"/>
  <c r="M1603" i="62"/>
  <c r="J1603" i="62"/>
  <c r="G1603" i="62"/>
  <c r="F1603" i="62"/>
  <c r="P1602" i="62"/>
  <c r="O1602" i="62"/>
  <c r="N1602" i="62"/>
  <c r="M1602" i="62"/>
  <c r="J1602" i="62"/>
  <c r="G1602" i="62"/>
  <c r="F1602" i="62"/>
  <c r="P1601" i="62"/>
  <c r="O1601" i="62"/>
  <c r="N1601" i="62"/>
  <c r="M1601" i="62"/>
  <c r="J1601" i="62"/>
  <c r="G1601" i="62"/>
  <c r="F1601" i="62"/>
  <c r="P1600" i="62"/>
  <c r="O1600" i="62"/>
  <c r="N1600" i="62"/>
  <c r="M1600" i="62"/>
  <c r="J1600" i="62"/>
  <c r="G1600" i="62"/>
  <c r="F1600" i="62"/>
  <c r="P1599" i="62"/>
  <c r="O1599" i="62"/>
  <c r="N1599" i="62"/>
  <c r="M1599" i="62"/>
  <c r="J1599" i="62"/>
  <c r="G1599" i="62"/>
  <c r="F1599" i="62"/>
  <c r="P1598" i="62"/>
  <c r="O1598" i="62"/>
  <c r="N1598" i="62"/>
  <c r="M1598" i="62"/>
  <c r="J1598" i="62"/>
  <c r="G1598" i="62"/>
  <c r="F1598" i="62"/>
  <c r="P1597" i="62"/>
  <c r="O1597" i="62"/>
  <c r="N1597" i="62"/>
  <c r="M1597" i="62"/>
  <c r="J1597" i="62"/>
  <c r="G1597" i="62"/>
  <c r="F1597" i="62"/>
  <c r="P1596" i="62"/>
  <c r="O1596" i="62"/>
  <c r="N1596" i="62"/>
  <c r="M1596" i="62"/>
  <c r="J1596" i="62"/>
  <c r="G1596" i="62"/>
  <c r="F1596" i="62"/>
  <c r="P1595" i="62"/>
  <c r="O1595" i="62"/>
  <c r="N1595" i="62"/>
  <c r="M1595" i="62"/>
  <c r="J1595" i="62"/>
  <c r="G1595" i="62"/>
  <c r="F1595" i="62"/>
  <c r="P1594" i="62"/>
  <c r="O1594" i="62"/>
  <c r="N1594" i="62"/>
  <c r="M1594" i="62"/>
  <c r="J1594" i="62"/>
  <c r="G1594" i="62"/>
  <c r="F1594" i="62"/>
  <c r="P1593" i="62"/>
  <c r="O1593" i="62"/>
  <c r="N1593" i="62"/>
  <c r="M1593" i="62"/>
  <c r="J1593" i="62"/>
  <c r="G1593" i="62"/>
  <c r="F1593" i="62"/>
  <c r="P1592" i="62"/>
  <c r="O1592" i="62"/>
  <c r="N1592" i="62"/>
  <c r="M1592" i="62"/>
  <c r="J1592" i="62"/>
  <c r="G1592" i="62"/>
  <c r="F1592" i="62"/>
  <c r="P1591" i="62"/>
  <c r="O1591" i="62"/>
  <c r="N1591" i="62"/>
  <c r="M1591" i="62"/>
  <c r="J1591" i="62"/>
  <c r="G1591" i="62"/>
  <c r="F1591" i="62"/>
  <c r="P1590" i="62"/>
  <c r="O1590" i="62"/>
  <c r="N1590" i="62"/>
  <c r="M1590" i="62"/>
  <c r="J1590" i="62"/>
  <c r="G1590" i="62"/>
  <c r="F1590" i="62"/>
  <c r="P1589" i="62"/>
  <c r="O1589" i="62"/>
  <c r="N1589" i="62"/>
  <c r="M1589" i="62"/>
  <c r="J1589" i="62"/>
  <c r="G1589" i="62"/>
  <c r="F1589" i="62"/>
  <c r="P1588" i="62"/>
  <c r="O1588" i="62"/>
  <c r="N1588" i="62"/>
  <c r="M1588" i="62"/>
  <c r="J1588" i="62"/>
  <c r="G1588" i="62"/>
  <c r="F1588" i="62"/>
  <c r="P1587" i="62"/>
  <c r="O1587" i="62"/>
  <c r="N1587" i="62"/>
  <c r="M1587" i="62"/>
  <c r="J1587" i="62"/>
  <c r="G1587" i="62"/>
  <c r="F1587" i="62"/>
  <c r="P1586" i="62"/>
  <c r="O1586" i="62"/>
  <c r="N1586" i="62"/>
  <c r="M1586" i="62"/>
  <c r="J1586" i="62"/>
  <c r="G1586" i="62"/>
  <c r="F1586" i="62"/>
  <c r="P1585" i="62"/>
  <c r="O1585" i="62"/>
  <c r="N1585" i="62"/>
  <c r="M1585" i="62"/>
  <c r="J1585" i="62"/>
  <c r="G1585" i="62"/>
  <c r="F1585" i="62"/>
  <c r="P1584" i="62"/>
  <c r="O1584" i="62"/>
  <c r="N1584" i="62"/>
  <c r="M1584" i="62"/>
  <c r="J1584" i="62"/>
  <c r="G1584" i="62"/>
  <c r="F1584" i="62"/>
  <c r="P1583" i="62"/>
  <c r="O1583" i="62"/>
  <c r="N1583" i="62"/>
  <c r="M1583" i="62"/>
  <c r="J1583" i="62"/>
  <c r="G1583" i="62"/>
  <c r="F1583" i="62"/>
  <c r="P1582" i="62"/>
  <c r="O1582" i="62"/>
  <c r="N1582" i="62"/>
  <c r="M1582" i="62"/>
  <c r="J1582" i="62"/>
  <c r="G1582" i="62"/>
  <c r="F1582" i="62"/>
  <c r="P1581" i="62"/>
  <c r="O1581" i="62"/>
  <c r="N1581" i="62"/>
  <c r="M1581" i="62"/>
  <c r="J1581" i="62"/>
  <c r="G1581" i="62"/>
  <c r="F1581" i="62"/>
  <c r="P1580" i="62"/>
  <c r="O1580" i="62"/>
  <c r="N1580" i="62"/>
  <c r="M1580" i="62"/>
  <c r="J1580" i="62"/>
  <c r="G1580" i="62"/>
  <c r="F1580" i="62"/>
  <c r="P1579" i="62"/>
  <c r="O1579" i="62"/>
  <c r="N1579" i="62"/>
  <c r="M1579" i="62"/>
  <c r="J1579" i="62"/>
  <c r="G1579" i="62"/>
  <c r="F1579" i="62"/>
  <c r="P1578" i="62"/>
  <c r="O1578" i="62"/>
  <c r="N1578" i="62"/>
  <c r="M1578" i="62"/>
  <c r="J1578" i="62"/>
  <c r="G1578" i="62"/>
  <c r="F1578" i="62"/>
  <c r="P1577" i="62"/>
  <c r="O1577" i="62"/>
  <c r="N1577" i="62"/>
  <c r="M1577" i="62"/>
  <c r="J1577" i="62"/>
  <c r="G1577" i="62"/>
  <c r="F1577" i="62"/>
  <c r="P1576" i="62"/>
  <c r="O1576" i="62"/>
  <c r="N1576" i="62"/>
  <c r="M1576" i="62"/>
  <c r="J1576" i="62"/>
  <c r="G1576" i="62"/>
  <c r="F1576" i="62"/>
  <c r="P1575" i="62"/>
  <c r="O1575" i="62"/>
  <c r="N1575" i="62"/>
  <c r="M1575" i="62"/>
  <c r="J1575" i="62"/>
  <c r="G1575" i="62"/>
  <c r="F1575" i="62"/>
  <c r="P1574" i="62"/>
  <c r="O1574" i="62"/>
  <c r="N1574" i="62"/>
  <c r="M1574" i="62"/>
  <c r="J1574" i="62"/>
  <c r="G1574" i="62"/>
  <c r="F1574" i="62"/>
  <c r="P1573" i="62"/>
  <c r="O1573" i="62"/>
  <c r="N1573" i="62"/>
  <c r="M1573" i="62"/>
  <c r="J1573" i="62"/>
  <c r="G1573" i="62"/>
  <c r="F1573" i="62"/>
  <c r="P1572" i="62"/>
  <c r="O1572" i="62"/>
  <c r="N1572" i="62"/>
  <c r="M1572" i="62"/>
  <c r="J1572" i="62"/>
  <c r="G1572" i="62"/>
  <c r="F1572" i="62"/>
  <c r="P1571" i="62"/>
  <c r="O1571" i="62"/>
  <c r="N1571" i="62"/>
  <c r="M1571" i="62"/>
  <c r="J1571" i="62"/>
  <c r="G1571" i="62"/>
  <c r="F1571" i="62"/>
  <c r="P1570" i="62"/>
  <c r="O1570" i="62"/>
  <c r="N1570" i="62"/>
  <c r="M1570" i="62"/>
  <c r="J1570" i="62"/>
  <c r="G1570" i="62"/>
  <c r="F1570" i="62"/>
  <c r="P1569" i="62"/>
  <c r="O1569" i="62"/>
  <c r="N1569" i="62"/>
  <c r="M1569" i="62"/>
  <c r="J1569" i="62"/>
  <c r="G1569" i="62"/>
  <c r="F1569" i="62"/>
  <c r="P1568" i="62"/>
  <c r="O1568" i="62"/>
  <c r="N1568" i="62"/>
  <c r="M1568" i="62"/>
  <c r="J1568" i="62"/>
  <c r="G1568" i="62"/>
  <c r="F1568" i="62"/>
  <c r="P1567" i="62"/>
  <c r="O1567" i="62"/>
  <c r="N1567" i="62"/>
  <c r="M1567" i="62"/>
  <c r="J1567" i="62"/>
  <c r="G1567" i="62"/>
  <c r="F1567" i="62"/>
  <c r="P1566" i="62"/>
  <c r="O1566" i="62"/>
  <c r="N1566" i="62"/>
  <c r="M1566" i="62"/>
  <c r="J1566" i="62"/>
  <c r="G1566" i="62"/>
  <c r="F1566" i="62"/>
  <c r="P1565" i="62"/>
  <c r="O1565" i="62"/>
  <c r="N1565" i="62"/>
  <c r="M1565" i="62"/>
  <c r="J1565" i="62"/>
  <c r="G1565" i="62"/>
  <c r="F1565" i="62"/>
  <c r="P1564" i="62"/>
  <c r="O1564" i="62"/>
  <c r="N1564" i="62"/>
  <c r="M1564" i="62"/>
  <c r="J1564" i="62"/>
  <c r="G1564" i="62"/>
  <c r="F1564" i="62"/>
  <c r="P1563" i="62"/>
  <c r="O1563" i="62"/>
  <c r="N1563" i="62"/>
  <c r="M1563" i="62"/>
  <c r="J1563" i="62"/>
  <c r="G1563" i="62"/>
  <c r="F1563" i="62"/>
  <c r="P1562" i="62"/>
  <c r="O1562" i="62"/>
  <c r="N1562" i="62"/>
  <c r="M1562" i="62"/>
  <c r="J1562" i="62"/>
  <c r="G1562" i="62"/>
  <c r="F1562" i="62"/>
  <c r="P1561" i="62"/>
  <c r="O1561" i="62"/>
  <c r="N1561" i="62"/>
  <c r="M1561" i="62"/>
  <c r="J1561" i="62"/>
  <c r="G1561" i="62"/>
  <c r="F1561" i="62"/>
  <c r="P1560" i="62"/>
  <c r="O1560" i="62"/>
  <c r="N1560" i="62"/>
  <c r="M1560" i="62"/>
  <c r="J1560" i="62"/>
  <c r="G1560" i="62"/>
  <c r="F1560" i="62"/>
  <c r="P1559" i="62"/>
  <c r="O1559" i="62"/>
  <c r="N1559" i="62"/>
  <c r="M1559" i="62"/>
  <c r="J1559" i="62"/>
  <c r="G1559" i="62"/>
  <c r="F1559" i="62"/>
  <c r="P1558" i="62"/>
  <c r="O1558" i="62"/>
  <c r="N1558" i="62"/>
  <c r="M1558" i="62"/>
  <c r="J1558" i="62"/>
  <c r="G1558" i="62"/>
  <c r="F1558" i="62"/>
  <c r="P1557" i="62"/>
  <c r="O1557" i="62"/>
  <c r="N1557" i="62"/>
  <c r="M1557" i="62"/>
  <c r="J1557" i="62"/>
  <c r="G1557" i="62"/>
  <c r="F1557" i="62"/>
  <c r="P1556" i="62"/>
  <c r="O1556" i="62"/>
  <c r="N1556" i="62"/>
  <c r="M1556" i="62"/>
  <c r="J1556" i="62"/>
  <c r="G1556" i="62"/>
  <c r="F1556" i="62"/>
  <c r="P1555" i="62"/>
  <c r="O1555" i="62"/>
  <c r="N1555" i="62"/>
  <c r="M1555" i="62"/>
  <c r="J1555" i="62"/>
  <c r="G1555" i="62"/>
  <c r="F1555" i="62"/>
  <c r="P1554" i="62"/>
  <c r="O1554" i="62"/>
  <c r="N1554" i="62"/>
  <c r="M1554" i="62"/>
  <c r="J1554" i="62"/>
  <c r="G1554" i="62"/>
  <c r="F1554" i="62"/>
  <c r="P1553" i="62"/>
  <c r="O1553" i="62"/>
  <c r="N1553" i="62"/>
  <c r="M1553" i="62"/>
  <c r="J1553" i="62"/>
  <c r="G1553" i="62"/>
  <c r="F1553" i="62"/>
  <c r="P1552" i="62"/>
  <c r="O1552" i="62"/>
  <c r="N1552" i="62"/>
  <c r="M1552" i="62"/>
  <c r="J1552" i="62"/>
  <c r="G1552" i="62"/>
  <c r="F1552" i="62"/>
  <c r="P1551" i="62"/>
  <c r="O1551" i="62"/>
  <c r="N1551" i="62"/>
  <c r="M1551" i="62"/>
  <c r="J1551" i="62"/>
  <c r="G1551" i="62"/>
  <c r="F1551" i="62"/>
  <c r="P1550" i="62"/>
  <c r="O1550" i="62"/>
  <c r="N1550" i="62"/>
  <c r="M1550" i="62"/>
  <c r="J1550" i="62"/>
  <c r="G1550" i="62"/>
  <c r="F1550" i="62"/>
  <c r="P1549" i="62"/>
  <c r="O1549" i="62"/>
  <c r="N1549" i="62"/>
  <c r="M1549" i="62"/>
  <c r="J1549" i="62"/>
  <c r="G1549" i="62"/>
  <c r="F1549" i="62"/>
  <c r="P1548" i="62"/>
  <c r="O1548" i="62"/>
  <c r="N1548" i="62"/>
  <c r="M1548" i="62"/>
  <c r="J1548" i="62"/>
  <c r="G1548" i="62"/>
  <c r="F1548" i="62"/>
  <c r="P1547" i="62"/>
  <c r="O1547" i="62"/>
  <c r="N1547" i="62"/>
  <c r="M1547" i="62"/>
  <c r="J1547" i="62"/>
  <c r="G1547" i="62"/>
  <c r="F1547" i="62"/>
  <c r="P1546" i="62"/>
  <c r="O1546" i="62"/>
  <c r="N1546" i="62"/>
  <c r="M1546" i="62"/>
  <c r="J1546" i="62"/>
  <c r="G1546" i="62"/>
  <c r="F1546" i="62"/>
  <c r="P1545" i="62"/>
  <c r="O1545" i="62"/>
  <c r="N1545" i="62"/>
  <c r="M1545" i="62"/>
  <c r="J1545" i="62"/>
  <c r="G1545" i="62"/>
  <c r="F1545" i="62"/>
  <c r="P1544" i="62"/>
  <c r="O1544" i="62"/>
  <c r="N1544" i="62"/>
  <c r="M1544" i="62"/>
  <c r="J1544" i="62"/>
  <c r="G1544" i="62"/>
  <c r="F1544" i="62"/>
  <c r="P1543" i="62"/>
  <c r="O1543" i="62"/>
  <c r="N1543" i="62"/>
  <c r="M1543" i="62"/>
  <c r="J1543" i="62"/>
  <c r="G1543" i="62"/>
  <c r="F1543" i="62"/>
  <c r="P1542" i="62"/>
  <c r="O1542" i="62"/>
  <c r="N1542" i="62"/>
  <c r="M1542" i="62"/>
  <c r="J1542" i="62"/>
  <c r="G1542" i="62"/>
  <c r="F1542" i="62"/>
  <c r="P1541" i="62"/>
  <c r="O1541" i="62"/>
  <c r="N1541" i="62"/>
  <c r="M1541" i="62"/>
  <c r="J1541" i="62"/>
  <c r="G1541" i="62"/>
  <c r="F1541" i="62"/>
  <c r="P1540" i="62"/>
  <c r="O1540" i="62"/>
  <c r="N1540" i="62"/>
  <c r="M1540" i="62"/>
  <c r="J1540" i="62"/>
  <c r="G1540" i="62"/>
  <c r="F1540" i="62"/>
  <c r="P1539" i="62"/>
  <c r="O1539" i="62"/>
  <c r="N1539" i="62"/>
  <c r="M1539" i="62"/>
  <c r="J1539" i="62"/>
  <c r="G1539" i="62"/>
  <c r="F1539" i="62"/>
  <c r="P1538" i="62"/>
  <c r="O1538" i="62"/>
  <c r="N1538" i="62"/>
  <c r="M1538" i="62"/>
  <c r="J1538" i="62"/>
  <c r="G1538" i="62"/>
  <c r="F1538" i="62"/>
  <c r="P1537" i="62"/>
  <c r="O1537" i="62"/>
  <c r="N1537" i="62"/>
  <c r="M1537" i="62"/>
  <c r="J1537" i="62"/>
  <c r="G1537" i="62"/>
  <c r="F1537" i="62"/>
  <c r="P1536" i="62"/>
  <c r="O1536" i="62"/>
  <c r="N1536" i="62"/>
  <c r="M1536" i="62"/>
  <c r="J1536" i="62"/>
  <c r="G1536" i="62"/>
  <c r="F1536" i="62"/>
  <c r="P1535" i="62"/>
  <c r="O1535" i="62"/>
  <c r="N1535" i="62"/>
  <c r="M1535" i="62"/>
  <c r="J1535" i="62"/>
  <c r="G1535" i="62"/>
  <c r="F1535" i="62"/>
  <c r="P1534" i="62"/>
  <c r="O1534" i="62"/>
  <c r="N1534" i="62"/>
  <c r="M1534" i="62"/>
  <c r="J1534" i="62"/>
  <c r="G1534" i="62"/>
  <c r="F1534" i="62"/>
  <c r="P1533" i="62"/>
  <c r="O1533" i="62"/>
  <c r="N1533" i="62"/>
  <c r="M1533" i="62"/>
  <c r="J1533" i="62"/>
  <c r="G1533" i="62"/>
  <c r="F1533" i="62"/>
  <c r="P1532" i="62"/>
  <c r="O1532" i="62"/>
  <c r="N1532" i="62"/>
  <c r="M1532" i="62"/>
  <c r="J1532" i="62"/>
  <c r="G1532" i="62"/>
  <c r="F1532" i="62"/>
  <c r="P1531" i="62"/>
  <c r="O1531" i="62"/>
  <c r="N1531" i="62"/>
  <c r="M1531" i="62"/>
  <c r="J1531" i="62"/>
  <c r="G1531" i="62"/>
  <c r="F1531" i="62"/>
  <c r="P1530" i="62"/>
  <c r="O1530" i="62"/>
  <c r="N1530" i="62"/>
  <c r="M1530" i="62"/>
  <c r="J1530" i="62"/>
  <c r="G1530" i="62"/>
  <c r="F1530" i="62"/>
  <c r="P1529" i="62"/>
  <c r="O1529" i="62"/>
  <c r="N1529" i="62"/>
  <c r="M1529" i="62"/>
  <c r="J1529" i="62"/>
  <c r="G1529" i="62"/>
  <c r="F1529" i="62"/>
  <c r="P1528" i="62"/>
  <c r="O1528" i="62"/>
  <c r="N1528" i="62"/>
  <c r="M1528" i="62"/>
  <c r="J1528" i="62"/>
  <c r="G1528" i="62"/>
  <c r="F1528" i="62"/>
  <c r="P1527" i="62"/>
  <c r="O1527" i="62"/>
  <c r="N1527" i="62"/>
  <c r="M1527" i="62"/>
  <c r="J1527" i="62"/>
  <c r="G1527" i="62"/>
  <c r="F1527" i="62"/>
  <c r="P1526" i="62"/>
  <c r="O1526" i="62"/>
  <c r="N1526" i="62"/>
  <c r="M1526" i="62"/>
  <c r="J1526" i="62"/>
  <c r="G1526" i="62"/>
  <c r="F1526" i="62"/>
  <c r="P1525" i="62"/>
  <c r="O1525" i="62"/>
  <c r="N1525" i="62"/>
  <c r="M1525" i="62"/>
  <c r="J1525" i="62"/>
  <c r="G1525" i="62"/>
  <c r="F1525" i="62"/>
  <c r="P1524" i="62"/>
  <c r="O1524" i="62"/>
  <c r="N1524" i="62"/>
  <c r="M1524" i="62"/>
  <c r="J1524" i="62"/>
  <c r="G1524" i="62"/>
  <c r="F1524" i="62"/>
  <c r="P1523" i="62"/>
  <c r="O1523" i="62"/>
  <c r="N1523" i="62"/>
  <c r="M1523" i="62"/>
  <c r="J1523" i="62"/>
  <c r="G1523" i="62"/>
  <c r="F1523" i="62"/>
  <c r="P1522" i="62"/>
  <c r="O1522" i="62"/>
  <c r="N1522" i="62"/>
  <c r="M1522" i="62"/>
  <c r="J1522" i="62"/>
  <c r="G1522" i="62"/>
  <c r="F1522" i="62"/>
  <c r="P1521" i="62"/>
  <c r="O1521" i="62"/>
  <c r="N1521" i="62"/>
  <c r="M1521" i="62"/>
  <c r="J1521" i="62"/>
  <c r="G1521" i="62"/>
  <c r="F1521" i="62"/>
  <c r="P1520" i="62"/>
  <c r="O1520" i="62"/>
  <c r="N1520" i="62"/>
  <c r="M1520" i="62"/>
  <c r="J1520" i="62"/>
  <c r="G1520" i="62"/>
  <c r="F1520" i="62"/>
  <c r="P1519" i="62"/>
  <c r="O1519" i="62"/>
  <c r="N1519" i="62"/>
  <c r="M1519" i="62"/>
  <c r="J1519" i="62"/>
  <c r="G1519" i="62"/>
  <c r="F1519" i="62"/>
  <c r="P1518" i="62"/>
  <c r="O1518" i="62"/>
  <c r="N1518" i="62"/>
  <c r="M1518" i="62"/>
  <c r="J1518" i="62"/>
  <c r="G1518" i="62"/>
  <c r="F1518" i="62"/>
  <c r="P1517" i="62"/>
  <c r="O1517" i="62"/>
  <c r="N1517" i="62"/>
  <c r="M1517" i="62"/>
  <c r="J1517" i="62"/>
  <c r="G1517" i="62"/>
  <c r="F1517" i="62"/>
  <c r="P1516" i="62"/>
  <c r="O1516" i="62"/>
  <c r="N1516" i="62"/>
  <c r="M1516" i="62"/>
  <c r="J1516" i="62"/>
  <c r="G1516" i="62"/>
  <c r="F1516" i="62"/>
  <c r="P1515" i="62"/>
  <c r="O1515" i="62"/>
  <c r="N1515" i="62"/>
  <c r="M1515" i="62"/>
  <c r="J1515" i="62"/>
  <c r="G1515" i="62"/>
  <c r="F1515" i="62"/>
  <c r="P1514" i="62"/>
  <c r="O1514" i="62"/>
  <c r="N1514" i="62"/>
  <c r="M1514" i="62"/>
  <c r="J1514" i="62"/>
  <c r="G1514" i="62"/>
  <c r="F1514" i="62"/>
  <c r="P1513" i="62"/>
  <c r="O1513" i="62"/>
  <c r="N1513" i="62"/>
  <c r="M1513" i="62"/>
  <c r="J1513" i="62"/>
  <c r="G1513" i="62"/>
  <c r="F1513" i="62"/>
  <c r="P1512" i="62"/>
  <c r="O1512" i="62"/>
  <c r="N1512" i="62"/>
  <c r="M1512" i="62"/>
  <c r="J1512" i="62"/>
  <c r="G1512" i="62"/>
  <c r="F1512" i="62"/>
  <c r="P1511" i="62"/>
  <c r="O1511" i="62"/>
  <c r="N1511" i="62"/>
  <c r="M1511" i="62"/>
  <c r="J1511" i="62"/>
  <c r="G1511" i="62"/>
  <c r="F1511" i="62"/>
  <c r="P1510" i="62"/>
  <c r="O1510" i="62"/>
  <c r="N1510" i="62"/>
  <c r="M1510" i="62"/>
  <c r="J1510" i="62"/>
  <c r="G1510" i="62"/>
  <c r="F1510" i="62"/>
  <c r="P1509" i="62"/>
  <c r="O1509" i="62"/>
  <c r="N1509" i="62"/>
  <c r="M1509" i="62"/>
  <c r="J1509" i="62"/>
  <c r="G1509" i="62"/>
  <c r="F1509" i="62"/>
  <c r="P1508" i="62"/>
  <c r="O1508" i="62"/>
  <c r="N1508" i="62"/>
  <c r="M1508" i="62"/>
  <c r="J1508" i="62"/>
  <c r="G1508" i="62"/>
  <c r="F1508" i="62"/>
  <c r="P1507" i="62"/>
  <c r="O1507" i="62"/>
  <c r="N1507" i="62"/>
  <c r="M1507" i="62"/>
  <c r="J1507" i="62"/>
  <c r="G1507" i="62"/>
  <c r="F1507" i="62"/>
  <c r="P1506" i="62"/>
  <c r="O1506" i="62"/>
  <c r="N1506" i="62"/>
  <c r="M1506" i="62"/>
  <c r="J1506" i="62"/>
  <c r="G1506" i="62"/>
  <c r="F1506" i="62"/>
  <c r="P1505" i="62"/>
  <c r="O1505" i="62"/>
  <c r="N1505" i="62"/>
  <c r="M1505" i="62"/>
  <c r="J1505" i="62"/>
  <c r="G1505" i="62"/>
  <c r="F1505" i="62"/>
  <c r="P1504" i="62"/>
  <c r="O1504" i="62"/>
  <c r="N1504" i="62"/>
  <c r="M1504" i="62"/>
  <c r="J1504" i="62"/>
  <c r="G1504" i="62"/>
  <c r="F1504" i="62"/>
  <c r="P1503" i="62"/>
  <c r="O1503" i="62"/>
  <c r="N1503" i="62"/>
  <c r="M1503" i="62"/>
  <c r="J1503" i="62"/>
  <c r="G1503" i="62"/>
  <c r="F1503" i="62"/>
  <c r="P1502" i="62"/>
  <c r="O1502" i="62"/>
  <c r="N1502" i="62"/>
  <c r="M1502" i="62"/>
  <c r="J1502" i="62"/>
  <c r="G1502" i="62"/>
  <c r="F1502" i="62"/>
  <c r="P1501" i="62"/>
  <c r="O1501" i="62"/>
  <c r="N1501" i="62"/>
  <c r="M1501" i="62"/>
  <c r="J1501" i="62"/>
  <c r="G1501" i="62"/>
  <c r="F1501" i="62"/>
  <c r="P1500" i="62"/>
  <c r="O1500" i="62"/>
  <c r="N1500" i="62"/>
  <c r="M1500" i="62"/>
  <c r="J1500" i="62"/>
  <c r="G1500" i="62"/>
  <c r="F1500" i="62"/>
  <c r="P1499" i="62"/>
  <c r="O1499" i="62"/>
  <c r="N1499" i="62"/>
  <c r="M1499" i="62"/>
  <c r="J1499" i="62"/>
  <c r="G1499" i="62"/>
  <c r="F1499" i="62"/>
  <c r="P1498" i="62"/>
  <c r="O1498" i="62"/>
  <c r="N1498" i="62"/>
  <c r="M1498" i="62"/>
  <c r="J1498" i="62"/>
  <c r="G1498" i="62"/>
  <c r="F1498" i="62"/>
  <c r="P1497" i="62"/>
  <c r="O1497" i="62"/>
  <c r="N1497" i="62"/>
  <c r="M1497" i="62"/>
  <c r="J1497" i="62"/>
  <c r="G1497" i="62"/>
  <c r="F1497" i="62"/>
  <c r="P1496" i="62"/>
  <c r="O1496" i="62"/>
  <c r="N1496" i="62"/>
  <c r="M1496" i="62"/>
  <c r="J1496" i="62"/>
  <c r="G1496" i="62"/>
  <c r="F1496" i="62"/>
  <c r="P1495" i="62"/>
  <c r="O1495" i="62"/>
  <c r="N1495" i="62"/>
  <c r="M1495" i="62"/>
  <c r="J1495" i="62"/>
  <c r="G1495" i="62"/>
  <c r="F1495" i="62"/>
  <c r="P1494" i="62"/>
  <c r="O1494" i="62"/>
  <c r="N1494" i="62"/>
  <c r="M1494" i="62"/>
  <c r="J1494" i="62"/>
  <c r="G1494" i="62"/>
  <c r="F1494" i="62"/>
  <c r="P1493" i="62"/>
  <c r="O1493" i="62"/>
  <c r="N1493" i="62"/>
  <c r="M1493" i="62"/>
  <c r="J1493" i="62"/>
  <c r="G1493" i="62"/>
  <c r="F1493" i="62"/>
  <c r="P1492" i="62"/>
  <c r="O1492" i="62"/>
  <c r="N1492" i="62"/>
  <c r="M1492" i="62"/>
  <c r="J1492" i="62"/>
  <c r="G1492" i="62"/>
  <c r="F1492" i="62"/>
  <c r="P1491" i="62"/>
  <c r="O1491" i="62"/>
  <c r="N1491" i="62"/>
  <c r="M1491" i="62"/>
  <c r="J1491" i="62"/>
  <c r="G1491" i="62"/>
  <c r="F1491" i="62"/>
  <c r="P1490" i="62"/>
  <c r="O1490" i="62"/>
  <c r="N1490" i="62"/>
  <c r="M1490" i="62"/>
  <c r="J1490" i="62"/>
  <c r="G1490" i="62"/>
  <c r="F1490" i="62"/>
  <c r="P1489" i="62"/>
  <c r="O1489" i="62"/>
  <c r="N1489" i="62"/>
  <c r="M1489" i="62"/>
  <c r="J1489" i="62"/>
  <c r="G1489" i="62"/>
  <c r="F1489" i="62"/>
  <c r="P1488" i="62"/>
  <c r="O1488" i="62"/>
  <c r="N1488" i="62"/>
  <c r="M1488" i="62"/>
  <c r="J1488" i="62"/>
  <c r="G1488" i="62"/>
  <c r="F1488" i="62"/>
  <c r="P1487" i="62"/>
  <c r="O1487" i="62"/>
  <c r="N1487" i="62"/>
  <c r="M1487" i="62"/>
  <c r="J1487" i="62"/>
  <c r="G1487" i="62"/>
  <c r="F1487" i="62"/>
  <c r="P1486" i="62"/>
  <c r="O1486" i="62"/>
  <c r="N1486" i="62"/>
  <c r="M1486" i="62"/>
  <c r="J1486" i="62"/>
  <c r="G1486" i="62"/>
  <c r="F1486" i="62"/>
  <c r="P1485" i="62"/>
  <c r="O1485" i="62"/>
  <c r="N1485" i="62"/>
  <c r="M1485" i="62"/>
  <c r="J1485" i="62"/>
  <c r="G1485" i="62"/>
  <c r="F1485" i="62"/>
  <c r="P1484" i="62"/>
  <c r="O1484" i="62"/>
  <c r="N1484" i="62"/>
  <c r="M1484" i="62"/>
  <c r="J1484" i="62"/>
  <c r="G1484" i="62"/>
  <c r="F1484" i="62"/>
  <c r="P1483" i="62"/>
  <c r="O1483" i="62"/>
  <c r="N1483" i="62"/>
  <c r="M1483" i="62"/>
  <c r="J1483" i="62"/>
  <c r="G1483" i="62"/>
  <c r="F1483" i="62"/>
  <c r="P1482" i="62"/>
  <c r="O1482" i="62"/>
  <c r="N1482" i="62"/>
  <c r="M1482" i="62"/>
  <c r="J1482" i="62"/>
  <c r="G1482" i="62"/>
  <c r="F1482" i="62"/>
  <c r="P1481" i="62"/>
  <c r="O1481" i="62"/>
  <c r="N1481" i="62"/>
  <c r="M1481" i="62"/>
  <c r="J1481" i="62"/>
  <c r="G1481" i="62"/>
  <c r="F1481" i="62"/>
  <c r="P1480" i="62"/>
  <c r="O1480" i="62"/>
  <c r="N1480" i="62"/>
  <c r="M1480" i="62"/>
  <c r="J1480" i="62"/>
  <c r="G1480" i="62"/>
  <c r="F1480" i="62"/>
  <c r="P1479" i="62"/>
  <c r="O1479" i="62"/>
  <c r="N1479" i="62"/>
  <c r="M1479" i="62"/>
  <c r="J1479" i="62"/>
  <c r="G1479" i="62"/>
  <c r="F1479" i="62"/>
  <c r="P1478" i="62"/>
  <c r="O1478" i="62"/>
  <c r="N1478" i="62"/>
  <c r="M1478" i="62"/>
  <c r="J1478" i="62"/>
  <c r="G1478" i="62"/>
  <c r="F1478" i="62"/>
  <c r="P1477" i="62"/>
  <c r="O1477" i="62"/>
  <c r="N1477" i="62"/>
  <c r="M1477" i="62"/>
  <c r="J1477" i="62"/>
  <c r="G1477" i="62"/>
  <c r="F1477" i="62"/>
  <c r="P1476" i="62"/>
  <c r="O1476" i="62"/>
  <c r="N1476" i="62"/>
  <c r="M1476" i="62"/>
  <c r="J1476" i="62"/>
  <c r="G1476" i="62"/>
  <c r="F1476" i="62"/>
  <c r="P1475" i="62"/>
  <c r="O1475" i="62"/>
  <c r="N1475" i="62"/>
  <c r="M1475" i="62"/>
  <c r="J1475" i="62"/>
  <c r="G1475" i="62"/>
  <c r="F1475" i="62"/>
  <c r="P1474" i="62"/>
  <c r="O1474" i="62"/>
  <c r="N1474" i="62"/>
  <c r="M1474" i="62"/>
  <c r="J1474" i="62"/>
  <c r="G1474" i="62"/>
  <c r="F1474" i="62"/>
  <c r="P1473" i="62"/>
  <c r="O1473" i="62"/>
  <c r="N1473" i="62"/>
  <c r="M1473" i="62"/>
  <c r="J1473" i="62"/>
  <c r="G1473" i="62"/>
  <c r="F1473" i="62"/>
  <c r="P1472" i="62"/>
  <c r="O1472" i="62"/>
  <c r="N1472" i="62"/>
  <c r="M1472" i="62"/>
  <c r="J1472" i="62"/>
  <c r="G1472" i="62"/>
  <c r="F1472" i="62"/>
  <c r="P1471" i="62"/>
  <c r="O1471" i="62"/>
  <c r="N1471" i="62"/>
  <c r="M1471" i="62"/>
  <c r="J1471" i="62"/>
  <c r="G1471" i="62"/>
  <c r="F1471" i="62"/>
  <c r="P1470" i="62"/>
  <c r="O1470" i="62"/>
  <c r="N1470" i="62"/>
  <c r="M1470" i="62"/>
  <c r="J1470" i="62"/>
  <c r="G1470" i="62"/>
  <c r="F1470" i="62"/>
  <c r="P1469" i="62"/>
  <c r="O1469" i="62"/>
  <c r="N1469" i="62"/>
  <c r="M1469" i="62"/>
  <c r="J1469" i="62"/>
  <c r="G1469" i="62"/>
  <c r="F1469" i="62"/>
  <c r="P1468" i="62"/>
  <c r="O1468" i="62"/>
  <c r="N1468" i="62"/>
  <c r="M1468" i="62"/>
  <c r="J1468" i="62"/>
  <c r="G1468" i="62"/>
  <c r="F1468" i="62"/>
  <c r="P1467" i="62"/>
  <c r="O1467" i="62"/>
  <c r="N1467" i="62"/>
  <c r="M1467" i="62"/>
  <c r="J1467" i="62"/>
  <c r="G1467" i="62"/>
  <c r="F1467" i="62"/>
  <c r="P1466" i="62"/>
  <c r="O1466" i="62"/>
  <c r="N1466" i="62"/>
  <c r="M1466" i="62"/>
  <c r="J1466" i="62"/>
  <c r="G1466" i="62"/>
  <c r="F1466" i="62"/>
  <c r="P1465" i="62"/>
  <c r="O1465" i="62"/>
  <c r="N1465" i="62"/>
  <c r="M1465" i="62"/>
  <c r="J1465" i="62"/>
  <c r="G1465" i="62"/>
  <c r="F1465" i="62"/>
  <c r="P1464" i="62"/>
  <c r="O1464" i="62"/>
  <c r="N1464" i="62"/>
  <c r="M1464" i="62"/>
  <c r="J1464" i="62"/>
  <c r="G1464" i="62"/>
  <c r="F1464" i="62"/>
  <c r="P1463" i="62"/>
  <c r="O1463" i="62"/>
  <c r="N1463" i="62"/>
  <c r="M1463" i="62"/>
  <c r="J1463" i="62"/>
  <c r="G1463" i="62"/>
  <c r="F1463" i="62"/>
  <c r="P1462" i="62"/>
  <c r="O1462" i="62"/>
  <c r="N1462" i="62"/>
  <c r="M1462" i="62"/>
  <c r="J1462" i="62"/>
  <c r="G1462" i="62"/>
  <c r="F1462" i="62"/>
  <c r="P1461" i="62"/>
  <c r="O1461" i="62"/>
  <c r="N1461" i="62"/>
  <c r="M1461" i="62"/>
  <c r="J1461" i="62"/>
  <c r="G1461" i="62"/>
  <c r="F1461" i="62"/>
  <c r="P1460" i="62"/>
  <c r="O1460" i="62"/>
  <c r="N1460" i="62"/>
  <c r="M1460" i="62"/>
  <c r="J1460" i="62"/>
  <c r="G1460" i="62"/>
  <c r="F1460" i="62"/>
  <c r="P1459" i="62"/>
  <c r="O1459" i="62"/>
  <c r="N1459" i="62"/>
  <c r="M1459" i="62"/>
  <c r="J1459" i="62"/>
  <c r="G1459" i="62"/>
  <c r="F1459" i="62"/>
  <c r="P1458" i="62"/>
  <c r="O1458" i="62"/>
  <c r="N1458" i="62"/>
  <c r="M1458" i="62"/>
  <c r="J1458" i="62"/>
  <c r="G1458" i="62"/>
  <c r="F1458" i="62"/>
  <c r="P1457" i="62"/>
  <c r="O1457" i="62"/>
  <c r="N1457" i="62"/>
  <c r="M1457" i="62"/>
  <c r="J1457" i="62"/>
  <c r="G1457" i="62"/>
  <c r="F1457" i="62"/>
  <c r="P1456" i="62"/>
  <c r="O1456" i="62"/>
  <c r="N1456" i="62"/>
  <c r="M1456" i="62"/>
  <c r="J1456" i="62"/>
  <c r="G1456" i="62"/>
  <c r="F1456" i="62"/>
  <c r="P1455" i="62"/>
  <c r="O1455" i="62"/>
  <c r="N1455" i="62"/>
  <c r="M1455" i="62"/>
  <c r="J1455" i="62"/>
  <c r="G1455" i="62"/>
  <c r="F1455" i="62"/>
  <c r="P1454" i="62"/>
  <c r="O1454" i="62"/>
  <c r="N1454" i="62"/>
  <c r="M1454" i="62"/>
  <c r="J1454" i="62"/>
  <c r="G1454" i="62"/>
  <c r="F1454" i="62"/>
  <c r="P1453" i="62"/>
  <c r="O1453" i="62"/>
  <c r="N1453" i="62"/>
  <c r="M1453" i="62"/>
  <c r="J1453" i="62"/>
  <c r="G1453" i="62"/>
  <c r="F1453" i="62"/>
  <c r="P1452" i="62"/>
  <c r="O1452" i="62"/>
  <c r="N1452" i="62"/>
  <c r="M1452" i="62"/>
  <c r="J1452" i="62"/>
  <c r="G1452" i="62"/>
  <c r="F1452" i="62"/>
  <c r="P1451" i="62"/>
  <c r="O1451" i="62"/>
  <c r="N1451" i="62"/>
  <c r="M1451" i="62"/>
  <c r="J1451" i="62"/>
  <c r="G1451" i="62"/>
  <c r="F1451" i="62"/>
  <c r="P1450" i="62"/>
  <c r="O1450" i="62"/>
  <c r="N1450" i="62"/>
  <c r="M1450" i="62"/>
  <c r="J1450" i="62"/>
  <c r="G1450" i="62"/>
  <c r="F1450" i="62"/>
  <c r="P1449" i="62"/>
  <c r="O1449" i="62"/>
  <c r="N1449" i="62"/>
  <c r="M1449" i="62"/>
  <c r="J1449" i="62"/>
  <c r="G1449" i="62"/>
  <c r="F1449" i="62"/>
  <c r="P1448" i="62"/>
  <c r="O1448" i="62"/>
  <c r="N1448" i="62"/>
  <c r="M1448" i="62"/>
  <c r="J1448" i="62"/>
  <c r="G1448" i="62"/>
  <c r="F1448" i="62"/>
  <c r="P1447" i="62"/>
  <c r="O1447" i="62"/>
  <c r="N1447" i="62"/>
  <c r="M1447" i="62"/>
  <c r="J1447" i="62"/>
  <c r="G1447" i="62"/>
  <c r="F1447" i="62"/>
  <c r="P1446" i="62"/>
  <c r="O1446" i="62"/>
  <c r="N1446" i="62"/>
  <c r="M1446" i="62"/>
  <c r="J1446" i="62"/>
  <c r="G1446" i="62"/>
  <c r="F1446" i="62"/>
  <c r="P1445" i="62"/>
  <c r="O1445" i="62"/>
  <c r="N1445" i="62"/>
  <c r="M1445" i="62"/>
  <c r="J1445" i="62"/>
  <c r="G1445" i="62"/>
  <c r="F1445" i="62"/>
  <c r="P1444" i="62"/>
  <c r="O1444" i="62"/>
  <c r="N1444" i="62"/>
  <c r="M1444" i="62"/>
  <c r="J1444" i="62"/>
  <c r="G1444" i="62"/>
  <c r="F1444" i="62"/>
  <c r="P1443" i="62"/>
  <c r="O1443" i="62"/>
  <c r="N1443" i="62"/>
  <c r="M1443" i="62"/>
  <c r="J1443" i="62"/>
  <c r="G1443" i="62"/>
  <c r="F1443" i="62"/>
  <c r="P1442" i="62"/>
  <c r="O1442" i="62"/>
  <c r="N1442" i="62"/>
  <c r="M1442" i="62"/>
  <c r="J1442" i="62"/>
  <c r="G1442" i="62"/>
  <c r="F1442" i="62"/>
  <c r="P1441" i="62"/>
  <c r="O1441" i="62"/>
  <c r="N1441" i="62"/>
  <c r="M1441" i="62"/>
  <c r="J1441" i="62"/>
  <c r="G1441" i="62"/>
  <c r="F1441" i="62"/>
  <c r="P1440" i="62"/>
  <c r="O1440" i="62"/>
  <c r="N1440" i="62"/>
  <c r="M1440" i="62"/>
  <c r="J1440" i="62"/>
  <c r="G1440" i="62"/>
  <c r="F1440" i="62"/>
  <c r="P1439" i="62"/>
  <c r="O1439" i="62"/>
  <c r="N1439" i="62"/>
  <c r="M1439" i="62"/>
  <c r="J1439" i="62"/>
  <c r="G1439" i="62"/>
  <c r="F1439" i="62"/>
  <c r="P1438" i="62"/>
  <c r="O1438" i="62"/>
  <c r="N1438" i="62"/>
  <c r="M1438" i="62"/>
  <c r="J1438" i="62"/>
  <c r="G1438" i="62"/>
  <c r="F1438" i="62"/>
  <c r="P1437" i="62"/>
  <c r="O1437" i="62"/>
  <c r="N1437" i="62"/>
  <c r="M1437" i="62"/>
  <c r="J1437" i="62"/>
  <c r="G1437" i="62"/>
  <c r="F1437" i="62"/>
  <c r="P1436" i="62"/>
  <c r="O1436" i="62"/>
  <c r="N1436" i="62"/>
  <c r="M1436" i="62"/>
  <c r="J1436" i="62"/>
  <c r="G1436" i="62"/>
  <c r="F1436" i="62"/>
  <c r="P1435" i="62"/>
  <c r="O1435" i="62"/>
  <c r="N1435" i="62"/>
  <c r="M1435" i="62"/>
  <c r="J1435" i="62"/>
  <c r="G1435" i="62"/>
  <c r="F1435" i="62"/>
  <c r="P1434" i="62"/>
  <c r="O1434" i="62"/>
  <c r="N1434" i="62"/>
  <c r="M1434" i="62"/>
  <c r="J1434" i="62"/>
  <c r="G1434" i="62"/>
  <c r="F1434" i="62"/>
  <c r="P1433" i="62"/>
  <c r="O1433" i="62"/>
  <c r="N1433" i="62"/>
  <c r="M1433" i="62"/>
  <c r="J1433" i="62"/>
  <c r="G1433" i="62"/>
  <c r="F1433" i="62"/>
  <c r="P1432" i="62"/>
  <c r="O1432" i="62"/>
  <c r="N1432" i="62"/>
  <c r="M1432" i="62"/>
  <c r="J1432" i="62"/>
  <c r="G1432" i="62"/>
  <c r="F1432" i="62"/>
  <c r="P1431" i="62"/>
  <c r="O1431" i="62"/>
  <c r="N1431" i="62"/>
  <c r="M1431" i="62"/>
  <c r="J1431" i="62"/>
  <c r="G1431" i="62"/>
  <c r="F1431" i="62"/>
  <c r="P1430" i="62"/>
  <c r="O1430" i="62"/>
  <c r="N1430" i="62"/>
  <c r="M1430" i="62"/>
  <c r="J1430" i="62"/>
  <c r="G1430" i="62"/>
  <c r="F1430" i="62"/>
  <c r="P1429" i="62"/>
  <c r="O1429" i="62"/>
  <c r="N1429" i="62"/>
  <c r="M1429" i="62"/>
  <c r="J1429" i="62"/>
  <c r="G1429" i="62"/>
  <c r="F1429" i="62"/>
  <c r="P1428" i="62"/>
  <c r="O1428" i="62"/>
  <c r="N1428" i="62"/>
  <c r="M1428" i="62"/>
  <c r="J1428" i="62"/>
  <c r="G1428" i="62"/>
  <c r="F1428" i="62"/>
  <c r="P1427" i="62"/>
  <c r="O1427" i="62"/>
  <c r="N1427" i="62"/>
  <c r="M1427" i="62"/>
  <c r="J1427" i="62"/>
  <c r="G1427" i="62"/>
  <c r="F1427" i="62"/>
  <c r="P1426" i="62"/>
  <c r="O1426" i="62"/>
  <c r="N1426" i="62"/>
  <c r="M1426" i="62"/>
  <c r="J1426" i="62"/>
  <c r="G1426" i="62"/>
  <c r="F1426" i="62"/>
  <c r="P1425" i="62"/>
  <c r="O1425" i="62"/>
  <c r="N1425" i="62"/>
  <c r="M1425" i="62"/>
  <c r="J1425" i="62"/>
  <c r="G1425" i="62"/>
  <c r="F1425" i="62"/>
  <c r="P1424" i="62"/>
  <c r="O1424" i="62"/>
  <c r="N1424" i="62"/>
  <c r="M1424" i="62"/>
  <c r="J1424" i="62"/>
  <c r="G1424" i="62"/>
  <c r="F1424" i="62"/>
  <c r="P1423" i="62"/>
  <c r="O1423" i="62"/>
  <c r="N1423" i="62"/>
  <c r="M1423" i="62"/>
  <c r="J1423" i="62"/>
  <c r="G1423" i="62"/>
  <c r="F1423" i="62"/>
  <c r="P1422" i="62"/>
  <c r="O1422" i="62"/>
  <c r="N1422" i="62"/>
  <c r="M1422" i="62"/>
  <c r="J1422" i="62"/>
  <c r="G1422" i="62"/>
  <c r="F1422" i="62"/>
  <c r="P1421" i="62"/>
  <c r="O1421" i="62"/>
  <c r="N1421" i="62"/>
  <c r="M1421" i="62"/>
  <c r="J1421" i="62"/>
  <c r="G1421" i="62"/>
  <c r="F1421" i="62"/>
  <c r="P1420" i="62"/>
  <c r="O1420" i="62"/>
  <c r="N1420" i="62"/>
  <c r="M1420" i="62"/>
  <c r="J1420" i="62"/>
  <c r="G1420" i="62"/>
  <c r="F1420" i="62"/>
  <c r="P1419" i="62"/>
  <c r="O1419" i="62"/>
  <c r="N1419" i="62"/>
  <c r="M1419" i="62"/>
  <c r="J1419" i="62"/>
  <c r="G1419" i="62"/>
  <c r="F1419" i="62"/>
  <c r="P1418" i="62"/>
  <c r="O1418" i="62"/>
  <c r="N1418" i="62"/>
  <c r="M1418" i="62"/>
  <c r="J1418" i="62"/>
  <c r="G1418" i="62"/>
  <c r="F1418" i="62"/>
  <c r="P1417" i="62"/>
  <c r="O1417" i="62"/>
  <c r="N1417" i="62"/>
  <c r="M1417" i="62"/>
  <c r="J1417" i="62"/>
  <c r="G1417" i="62"/>
  <c r="F1417" i="62"/>
  <c r="P1416" i="62"/>
  <c r="O1416" i="62"/>
  <c r="N1416" i="62"/>
  <c r="M1416" i="62"/>
  <c r="J1416" i="62"/>
  <c r="G1416" i="62"/>
  <c r="F1416" i="62"/>
  <c r="P1415" i="62"/>
  <c r="O1415" i="62"/>
  <c r="N1415" i="62"/>
  <c r="M1415" i="62"/>
  <c r="J1415" i="62"/>
  <c r="G1415" i="62"/>
  <c r="F1415" i="62"/>
  <c r="P1414" i="62"/>
  <c r="O1414" i="62"/>
  <c r="N1414" i="62"/>
  <c r="M1414" i="62"/>
  <c r="J1414" i="62"/>
  <c r="G1414" i="62"/>
  <c r="F1414" i="62"/>
  <c r="P1413" i="62"/>
  <c r="O1413" i="62"/>
  <c r="N1413" i="62"/>
  <c r="M1413" i="62"/>
  <c r="J1413" i="62"/>
  <c r="G1413" i="62"/>
  <c r="F1413" i="62"/>
  <c r="P1412" i="62"/>
  <c r="O1412" i="62"/>
  <c r="N1412" i="62"/>
  <c r="M1412" i="62"/>
  <c r="J1412" i="62"/>
  <c r="G1412" i="62"/>
  <c r="F1412" i="62"/>
  <c r="P1411" i="62"/>
  <c r="O1411" i="62"/>
  <c r="N1411" i="62"/>
  <c r="M1411" i="62"/>
  <c r="J1411" i="62"/>
  <c r="G1411" i="62"/>
  <c r="F1411" i="62"/>
  <c r="P1410" i="62"/>
  <c r="O1410" i="62"/>
  <c r="N1410" i="62"/>
  <c r="M1410" i="62"/>
  <c r="J1410" i="62"/>
  <c r="G1410" i="62"/>
  <c r="F1410" i="62"/>
  <c r="P1409" i="62"/>
  <c r="O1409" i="62"/>
  <c r="N1409" i="62"/>
  <c r="M1409" i="62"/>
  <c r="J1409" i="62"/>
  <c r="G1409" i="62"/>
  <c r="F1409" i="62"/>
  <c r="P1408" i="62"/>
  <c r="O1408" i="62"/>
  <c r="N1408" i="62"/>
  <c r="M1408" i="62"/>
  <c r="J1408" i="62"/>
  <c r="G1408" i="62"/>
  <c r="F1408" i="62"/>
  <c r="P1407" i="62"/>
  <c r="O1407" i="62"/>
  <c r="N1407" i="62"/>
  <c r="M1407" i="62"/>
  <c r="J1407" i="62"/>
  <c r="G1407" i="62"/>
  <c r="F1407" i="62"/>
  <c r="P1406" i="62"/>
  <c r="O1406" i="62"/>
  <c r="N1406" i="62"/>
  <c r="M1406" i="62"/>
  <c r="J1406" i="62"/>
  <c r="G1406" i="62"/>
  <c r="F1406" i="62"/>
  <c r="P1405" i="62"/>
  <c r="O1405" i="62"/>
  <c r="N1405" i="62"/>
  <c r="M1405" i="62"/>
  <c r="J1405" i="62"/>
  <c r="G1405" i="62"/>
  <c r="F1405" i="62"/>
  <c r="P1404" i="62"/>
  <c r="O1404" i="62"/>
  <c r="N1404" i="62"/>
  <c r="M1404" i="62"/>
  <c r="J1404" i="62"/>
  <c r="G1404" i="62"/>
  <c r="F1404" i="62"/>
  <c r="P1403" i="62"/>
  <c r="O1403" i="62"/>
  <c r="N1403" i="62"/>
  <c r="M1403" i="62"/>
  <c r="J1403" i="62"/>
  <c r="G1403" i="62"/>
  <c r="F1403" i="62"/>
  <c r="P1402" i="62"/>
  <c r="O1402" i="62"/>
  <c r="N1402" i="62"/>
  <c r="M1402" i="62"/>
  <c r="J1402" i="62"/>
  <c r="G1402" i="62"/>
  <c r="F1402" i="62"/>
  <c r="P1401" i="62"/>
  <c r="O1401" i="62"/>
  <c r="N1401" i="62"/>
  <c r="M1401" i="62"/>
  <c r="J1401" i="62"/>
  <c r="G1401" i="62"/>
  <c r="F1401" i="62"/>
  <c r="P1400" i="62"/>
  <c r="O1400" i="62"/>
  <c r="N1400" i="62"/>
  <c r="M1400" i="62"/>
  <c r="J1400" i="62"/>
  <c r="G1400" i="62"/>
  <c r="F1400" i="62"/>
  <c r="P1399" i="62"/>
  <c r="O1399" i="62"/>
  <c r="N1399" i="62"/>
  <c r="M1399" i="62"/>
  <c r="J1399" i="62"/>
  <c r="G1399" i="62"/>
  <c r="F1399" i="62"/>
  <c r="P1398" i="62"/>
  <c r="O1398" i="62"/>
  <c r="N1398" i="62"/>
  <c r="M1398" i="62"/>
  <c r="J1398" i="62"/>
  <c r="G1398" i="62"/>
  <c r="F1398" i="62"/>
  <c r="P1397" i="62"/>
  <c r="O1397" i="62"/>
  <c r="N1397" i="62"/>
  <c r="M1397" i="62"/>
  <c r="J1397" i="62"/>
  <c r="G1397" i="62"/>
  <c r="F1397" i="62"/>
  <c r="P1396" i="62"/>
  <c r="O1396" i="62"/>
  <c r="N1396" i="62"/>
  <c r="M1396" i="62"/>
  <c r="J1396" i="62"/>
  <c r="G1396" i="62"/>
  <c r="F1396" i="62"/>
  <c r="P1395" i="62"/>
  <c r="O1395" i="62"/>
  <c r="N1395" i="62"/>
  <c r="M1395" i="62"/>
  <c r="J1395" i="62"/>
  <c r="G1395" i="62"/>
  <c r="F1395" i="62"/>
  <c r="P1394" i="62"/>
  <c r="O1394" i="62"/>
  <c r="N1394" i="62"/>
  <c r="M1394" i="62"/>
  <c r="J1394" i="62"/>
  <c r="G1394" i="62"/>
  <c r="F1394" i="62"/>
  <c r="P1393" i="62"/>
  <c r="O1393" i="62"/>
  <c r="N1393" i="62"/>
  <c r="M1393" i="62"/>
  <c r="J1393" i="62"/>
  <c r="G1393" i="62"/>
  <c r="F1393" i="62"/>
  <c r="P1392" i="62"/>
  <c r="O1392" i="62"/>
  <c r="N1392" i="62"/>
  <c r="M1392" i="62"/>
  <c r="J1392" i="62"/>
  <c r="G1392" i="62"/>
  <c r="F1392" i="62"/>
  <c r="P1391" i="62"/>
  <c r="O1391" i="62"/>
  <c r="N1391" i="62"/>
  <c r="M1391" i="62"/>
  <c r="J1391" i="62"/>
  <c r="G1391" i="62"/>
  <c r="F1391" i="62"/>
  <c r="P1390" i="62"/>
  <c r="O1390" i="62"/>
  <c r="N1390" i="62"/>
  <c r="M1390" i="62"/>
  <c r="J1390" i="62"/>
  <c r="G1390" i="62"/>
  <c r="F1390" i="62"/>
  <c r="P1389" i="62"/>
  <c r="O1389" i="62"/>
  <c r="N1389" i="62"/>
  <c r="M1389" i="62"/>
  <c r="J1389" i="62"/>
  <c r="G1389" i="62"/>
  <c r="F1389" i="62"/>
  <c r="P1388" i="62"/>
  <c r="O1388" i="62"/>
  <c r="N1388" i="62"/>
  <c r="M1388" i="62"/>
  <c r="J1388" i="62"/>
  <c r="G1388" i="62"/>
  <c r="F1388" i="62"/>
  <c r="P1387" i="62"/>
  <c r="O1387" i="62"/>
  <c r="N1387" i="62"/>
  <c r="M1387" i="62"/>
  <c r="J1387" i="62"/>
  <c r="G1387" i="62"/>
  <c r="F1387" i="62"/>
  <c r="P1386" i="62"/>
  <c r="O1386" i="62"/>
  <c r="N1386" i="62"/>
  <c r="M1386" i="62"/>
  <c r="J1386" i="62"/>
  <c r="G1386" i="62"/>
  <c r="F1386" i="62"/>
  <c r="P1385" i="62"/>
  <c r="O1385" i="62"/>
  <c r="N1385" i="62"/>
  <c r="M1385" i="62"/>
  <c r="J1385" i="62"/>
  <c r="G1385" i="62"/>
  <c r="F1385" i="62"/>
  <c r="P1384" i="62"/>
  <c r="O1384" i="62"/>
  <c r="N1384" i="62"/>
  <c r="M1384" i="62"/>
  <c r="J1384" i="62"/>
  <c r="G1384" i="62"/>
  <c r="F1384" i="62"/>
  <c r="P1383" i="62"/>
  <c r="O1383" i="62"/>
  <c r="N1383" i="62"/>
  <c r="M1383" i="62"/>
  <c r="J1383" i="62"/>
  <c r="G1383" i="62"/>
  <c r="F1383" i="62"/>
  <c r="P1382" i="62"/>
  <c r="O1382" i="62"/>
  <c r="N1382" i="62"/>
  <c r="M1382" i="62"/>
  <c r="J1382" i="62"/>
  <c r="G1382" i="62"/>
  <c r="F1382" i="62"/>
  <c r="P1381" i="62"/>
  <c r="O1381" i="62"/>
  <c r="N1381" i="62"/>
  <c r="M1381" i="62"/>
  <c r="J1381" i="62"/>
  <c r="G1381" i="62"/>
  <c r="F1381" i="62"/>
  <c r="P1380" i="62"/>
  <c r="O1380" i="62"/>
  <c r="N1380" i="62"/>
  <c r="M1380" i="62"/>
  <c r="J1380" i="62"/>
  <c r="G1380" i="62"/>
  <c r="F1380" i="62"/>
  <c r="P1379" i="62"/>
  <c r="O1379" i="62"/>
  <c r="N1379" i="62"/>
  <c r="M1379" i="62"/>
  <c r="J1379" i="62"/>
  <c r="G1379" i="62"/>
  <c r="F1379" i="62"/>
  <c r="P1378" i="62"/>
  <c r="O1378" i="62"/>
  <c r="N1378" i="62"/>
  <c r="M1378" i="62"/>
  <c r="J1378" i="62"/>
  <c r="G1378" i="62"/>
  <c r="F1378" i="62"/>
  <c r="P1377" i="62"/>
  <c r="O1377" i="62"/>
  <c r="N1377" i="62"/>
  <c r="M1377" i="62"/>
  <c r="J1377" i="62"/>
  <c r="G1377" i="62"/>
  <c r="F1377" i="62"/>
  <c r="P1376" i="62"/>
  <c r="O1376" i="62"/>
  <c r="N1376" i="62"/>
  <c r="M1376" i="62"/>
  <c r="J1376" i="62"/>
  <c r="G1376" i="62"/>
  <c r="F1376" i="62"/>
  <c r="P1375" i="62"/>
  <c r="O1375" i="62"/>
  <c r="N1375" i="62"/>
  <c r="M1375" i="62"/>
  <c r="J1375" i="62"/>
  <c r="G1375" i="62"/>
  <c r="F1375" i="62"/>
  <c r="P1374" i="62"/>
  <c r="O1374" i="62"/>
  <c r="N1374" i="62"/>
  <c r="M1374" i="62"/>
  <c r="J1374" i="62"/>
  <c r="G1374" i="62"/>
  <c r="F1374" i="62"/>
  <c r="P1373" i="62"/>
  <c r="O1373" i="62"/>
  <c r="N1373" i="62"/>
  <c r="M1373" i="62"/>
  <c r="J1373" i="62"/>
  <c r="G1373" i="62"/>
  <c r="F1373" i="62"/>
  <c r="P1372" i="62"/>
  <c r="O1372" i="62"/>
  <c r="N1372" i="62"/>
  <c r="M1372" i="62"/>
  <c r="J1372" i="62"/>
  <c r="G1372" i="62"/>
  <c r="F1372" i="62"/>
  <c r="P1371" i="62"/>
  <c r="O1371" i="62"/>
  <c r="N1371" i="62"/>
  <c r="M1371" i="62"/>
  <c r="J1371" i="62"/>
  <c r="G1371" i="62"/>
  <c r="F1371" i="62"/>
  <c r="P1370" i="62"/>
  <c r="O1370" i="62"/>
  <c r="N1370" i="62"/>
  <c r="M1370" i="62"/>
  <c r="J1370" i="62"/>
  <c r="G1370" i="62"/>
  <c r="F1370" i="62"/>
  <c r="P1369" i="62"/>
  <c r="O1369" i="62"/>
  <c r="N1369" i="62"/>
  <c r="M1369" i="62"/>
  <c r="J1369" i="62"/>
  <c r="G1369" i="62"/>
  <c r="F1369" i="62"/>
  <c r="P1368" i="62"/>
  <c r="O1368" i="62"/>
  <c r="N1368" i="62"/>
  <c r="M1368" i="62"/>
  <c r="J1368" i="62"/>
  <c r="G1368" i="62"/>
  <c r="F1368" i="62"/>
  <c r="P1367" i="62"/>
  <c r="O1367" i="62"/>
  <c r="N1367" i="62"/>
  <c r="M1367" i="62"/>
  <c r="J1367" i="62"/>
  <c r="G1367" i="62"/>
  <c r="F1367" i="62"/>
  <c r="P1366" i="62"/>
  <c r="O1366" i="62"/>
  <c r="N1366" i="62"/>
  <c r="M1366" i="62"/>
  <c r="J1366" i="62"/>
  <c r="G1366" i="62"/>
  <c r="F1366" i="62"/>
  <c r="P1365" i="62"/>
  <c r="O1365" i="62"/>
  <c r="N1365" i="62"/>
  <c r="M1365" i="62"/>
  <c r="J1365" i="62"/>
  <c r="G1365" i="62"/>
  <c r="F1365" i="62"/>
  <c r="P1364" i="62"/>
  <c r="O1364" i="62"/>
  <c r="N1364" i="62"/>
  <c r="M1364" i="62"/>
  <c r="J1364" i="62"/>
  <c r="G1364" i="62"/>
  <c r="F1364" i="62"/>
  <c r="P1363" i="62"/>
  <c r="O1363" i="62"/>
  <c r="N1363" i="62"/>
  <c r="M1363" i="62"/>
  <c r="J1363" i="62"/>
  <c r="G1363" i="62"/>
  <c r="F1363" i="62"/>
  <c r="P1362" i="62"/>
  <c r="O1362" i="62"/>
  <c r="N1362" i="62"/>
  <c r="M1362" i="62"/>
  <c r="J1362" i="62"/>
  <c r="G1362" i="62"/>
  <c r="F1362" i="62"/>
  <c r="P1361" i="62"/>
  <c r="O1361" i="62"/>
  <c r="N1361" i="62"/>
  <c r="M1361" i="62"/>
  <c r="J1361" i="62"/>
  <c r="G1361" i="62"/>
  <c r="F1361" i="62"/>
  <c r="P1360" i="62"/>
  <c r="O1360" i="62"/>
  <c r="N1360" i="62"/>
  <c r="M1360" i="62"/>
  <c r="J1360" i="62"/>
  <c r="G1360" i="62"/>
  <c r="F1360" i="62"/>
  <c r="P1359" i="62"/>
  <c r="O1359" i="62"/>
  <c r="N1359" i="62"/>
  <c r="M1359" i="62"/>
  <c r="J1359" i="62"/>
  <c r="G1359" i="62"/>
  <c r="F1359" i="62"/>
  <c r="P1358" i="62"/>
  <c r="O1358" i="62"/>
  <c r="N1358" i="62"/>
  <c r="M1358" i="62"/>
  <c r="J1358" i="62"/>
  <c r="G1358" i="62"/>
  <c r="F1358" i="62"/>
  <c r="P1357" i="62"/>
  <c r="O1357" i="62"/>
  <c r="N1357" i="62"/>
  <c r="M1357" i="62"/>
  <c r="J1357" i="62"/>
  <c r="G1357" i="62"/>
  <c r="F1357" i="62"/>
  <c r="P1356" i="62"/>
  <c r="O1356" i="62"/>
  <c r="N1356" i="62"/>
  <c r="M1356" i="62"/>
  <c r="J1356" i="62"/>
  <c r="G1356" i="62"/>
  <c r="F1356" i="62"/>
  <c r="P1355" i="62"/>
  <c r="O1355" i="62"/>
  <c r="N1355" i="62"/>
  <c r="M1355" i="62"/>
  <c r="J1355" i="62"/>
  <c r="G1355" i="62"/>
  <c r="F1355" i="62"/>
  <c r="P1354" i="62"/>
  <c r="O1354" i="62"/>
  <c r="N1354" i="62"/>
  <c r="M1354" i="62"/>
  <c r="J1354" i="62"/>
  <c r="G1354" i="62"/>
  <c r="F1354" i="62"/>
  <c r="P1353" i="62"/>
  <c r="O1353" i="62"/>
  <c r="N1353" i="62"/>
  <c r="M1353" i="62"/>
  <c r="J1353" i="62"/>
  <c r="G1353" i="62"/>
  <c r="F1353" i="62"/>
  <c r="P1352" i="62"/>
  <c r="O1352" i="62"/>
  <c r="N1352" i="62"/>
  <c r="M1352" i="62"/>
  <c r="J1352" i="62"/>
  <c r="G1352" i="62"/>
  <c r="F1352" i="62"/>
  <c r="P1351" i="62"/>
  <c r="O1351" i="62"/>
  <c r="N1351" i="62"/>
  <c r="M1351" i="62"/>
  <c r="J1351" i="62"/>
  <c r="G1351" i="62"/>
  <c r="F1351" i="62"/>
  <c r="P1350" i="62"/>
  <c r="O1350" i="62"/>
  <c r="N1350" i="62"/>
  <c r="M1350" i="62"/>
  <c r="J1350" i="62"/>
  <c r="G1350" i="62"/>
  <c r="F1350" i="62"/>
  <c r="P1349" i="62"/>
  <c r="O1349" i="62"/>
  <c r="N1349" i="62"/>
  <c r="M1349" i="62"/>
  <c r="J1349" i="62"/>
  <c r="G1349" i="62"/>
  <c r="F1349" i="62"/>
  <c r="P1348" i="62"/>
  <c r="O1348" i="62"/>
  <c r="N1348" i="62"/>
  <c r="M1348" i="62"/>
  <c r="J1348" i="62"/>
  <c r="G1348" i="62"/>
  <c r="F1348" i="62"/>
  <c r="P1347" i="62"/>
  <c r="O1347" i="62"/>
  <c r="N1347" i="62"/>
  <c r="M1347" i="62"/>
  <c r="J1347" i="62"/>
  <c r="G1347" i="62"/>
  <c r="F1347" i="62"/>
  <c r="P1346" i="62"/>
  <c r="O1346" i="62"/>
  <c r="N1346" i="62"/>
  <c r="M1346" i="62"/>
  <c r="J1346" i="62"/>
  <c r="G1346" i="62"/>
  <c r="F1346" i="62"/>
  <c r="P1345" i="62"/>
  <c r="O1345" i="62"/>
  <c r="N1345" i="62"/>
  <c r="M1345" i="62"/>
  <c r="J1345" i="62"/>
  <c r="G1345" i="62"/>
  <c r="F1345" i="62"/>
  <c r="P1344" i="62"/>
  <c r="O1344" i="62"/>
  <c r="N1344" i="62"/>
  <c r="M1344" i="62"/>
  <c r="J1344" i="62"/>
  <c r="G1344" i="62"/>
  <c r="F1344" i="62"/>
  <c r="P1343" i="62"/>
  <c r="O1343" i="62"/>
  <c r="N1343" i="62"/>
  <c r="M1343" i="62"/>
  <c r="J1343" i="62"/>
  <c r="G1343" i="62"/>
  <c r="F1343" i="62"/>
  <c r="P1342" i="62"/>
  <c r="O1342" i="62"/>
  <c r="N1342" i="62"/>
  <c r="M1342" i="62"/>
  <c r="J1342" i="62"/>
  <c r="G1342" i="62"/>
  <c r="F1342" i="62"/>
  <c r="P1341" i="62"/>
  <c r="O1341" i="62"/>
  <c r="N1341" i="62"/>
  <c r="M1341" i="62"/>
  <c r="J1341" i="62"/>
  <c r="G1341" i="62"/>
  <c r="F1341" i="62"/>
  <c r="P1340" i="62"/>
  <c r="O1340" i="62"/>
  <c r="N1340" i="62"/>
  <c r="M1340" i="62"/>
  <c r="J1340" i="62"/>
  <c r="G1340" i="62"/>
  <c r="F1340" i="62"/>
  <c r="P1339" i="62"/>
  <c r="O1339" i="62"/>
  <c r="N1339" i="62"/>
  <c r="M1339" i="62"/>
  <c r="J1339" i="62"/>
  <c r="G1339" i="62"/>
  <c r="F1339" i="62"/>
  <c r="P1338" i="62"/>
  <c r="O1338" i="62"/>
  <c r="N1338" i="62"/>
  <c r="M1338" i="62"/>
  <c r="J1338" i="62"/>
  <c r="G1338" i="62"/>
  <c r="F1338" i="62"/>
  <c r="P1337" i="62"/>
  <c r="O1337" i="62"/>
  <c r="N1337" i="62"/>
  <c r="M1337" i="62"/>
  <c r="J1337" i="62"/>
  <c r="G1337" i="62"/>
  <c r="F1337" i="62"/>
  <c r="P1336" i="62"/>
  <c r="O1336" i="62"/>
  <c r="N1336" i="62"/>
  <c r="M1336" i="62"/>
  <c r="J1336" i="62"/>
  <c r="G1336" i="62"/>
  <c r="F1336" i="62"/>
  <c r="P1335" i="62"/>
  <c r="O1335" i="62"/>
  <c r="N1335" i="62"/>
  <c r="M1335" i="62"/>
  <c r="J1335" i="62"/>
  <c r="G1335" i="62"/>
  <c r="F1335" i="62"/>
  <c r="P1334" i="62"/>
  <c r="O1334" i="62"/>
  <c r="N1334" i="62"/>
  <c r="M1334" i="62"/>
  <c r="J1334" i="62"/>
  <c r="G1334" i="62"/>
  <c r="F1334" i="62"/>
  <c r="P1333" i="62"/>
  <c r="O1333" i="62"/>
  <c r="N1333" i="62"/>
  <c r="M1333" i="62"/>
  <c r="J1333" i="62"/>
  <c r="G1333" i="62"/>
  <c r="F1333" i="62"/>
  <c r="P1332" i="62"/>
  <c r="O1332" i="62"/>
  <c r="N1332" i="62"/>
  <c r="M1332" i="62"/>
  <c r="J1332" i="62"/>
  <c r="G1332" i="62"/>
  <c r="F1332" i="62"/>
  <c r="P1331" i="62"/>
  <c r="O1331" i="62"/>
  <c r="N1331" i="62"/>
  <c r="M1331" i="62"/>
  <c r="J1331" i="62"/>
  <c r="G1331" i="62"/>
  <c r="F1331" i="62"/>
  <c r="P1330" i="62"/>
  <c r="O1330" i="62"/>
  <c r="N1330" i="62"/>
  <c r="M1330" i="62"/>
  <c r="J1330" i="62"/>
  <c r="G1330" i="62"/>
  <c r="F1330" i="62"/>
  <c r="P1329" i="62"/>
  <c r="O1329" i="62"/>
  <c r="N1329" i="62"/>
  <c r="M1329" i="62"/>
  <c r="J1329" i="62"/>
  <c r="G1329" i="62"/>
  <c r="F1329" i="62"/>
  <c r="P1328" i="62"/>
  <c r="O1328" i="62"/>
  <c r="N1328" i="62"/>
  <c r="M1328" i="62"/>
  <c r="J1328" i="62"/>
  <c r="G1328" i="62"/>
  <c r="F1328" i="62"/>
  <c r="P1327" i="62"/>
  <c r="O1327" i="62"/>
  <c r="N1327" i="62"/>
  <c r="M1327" i="62"/>
  <c r="J1327" i="62"/>
  <c r="G1327" i="62"/>
  <c r="F1327" i="62"/>
  <c r="P1326" i="62"/>
  <c r="O1326" i="62"/>
  <c r="N1326" i="62"/>
  <c r="M1326" i="62"/>
  <c r="J1326" i="62"/>
  <c r="G1326" i="62"/>
  <c r="F1326" i="62"/>
  <c r="P1325" i="62"/>
  <c r="O1325" i="62"/>
  <c r="N1325" i="62"/>
  <c r="M1325" i="62"/>
  <c r="J1325" i="62"/>
  <c r="G1325" i="62"/>
  <c r="F1325" i="62"/>
  <c r="P1324" i="62"/>
  <c r="O1324" i="62"/>
  <c r="N1324" i="62"/>
  <c r="M1324" i="62"/>
  <c r="J1324" i="62"/>
  <c r="G1324" i="62"/>
  <c r="F1324" i="62"/>
  <c r="P1323" i="62"/>
  <c r="O1323" i="62"/>
  <c r="N1323" i="62"/>
  <c r="M1323" i="62"/>
  <c r="J1323" i="62"/>
  <c r="G1323" i="62"/>
  <c r="F1323" i="62"/>
  <c r="P1322" i="62"/>
  <c r="O1322" i="62"/>
  <c r="N1322" i="62"/>
  <c r="M1322" i="62"/>
  <c r="J1322" i="62"/>
  <c r="G1322" i="62"/>
  <c r="F1322" i="62"/>
  <c r="P1321" i="62"/>
  <c r="O1321" i="62"/>
  <c r="N1321" i="62"/>
  <c r="M1321" i="62"/>
  <c r="J1321" i="62"/>
  <c r="G1321" i="62"/>
  <c r="F1321" i="62"/>
  <c r="P1320" i="62"/>
  <c r="O1320" i="62"/>
  <c r="N1320" i="62"/>
  <c r="M1320" i="62"/>
  <c r="J1320" i="62"/>
  <c r="G1320" i="62"/>
  <c r="F1320" i="62"/>
  <c r="P1319" i="62"/>
  <c r="O1319" i="62"/>
  <c r="N1319" i="62"/>
  <c r="M1319" i="62"/>
  <c r="J1319" i="62"/>
  <c r="G1319" i="62"/>
  <c r="F1319" i="62"/>
  <c r="P1318" i="62"/>
  <c r="O1318" i="62"/>
  <c r="N1318" i="62"/>
  <c r="M1318" i="62"/>
  <c r="J1318" i="62"/>
  <c r="G1318" i="62"/>
  <c r="F1318" i="62"/>
  <c r="P1317" i="62"/>
  <c r="O1317" i="62"/>
  <c r="N1317" i="62"/>
  <c r="M1317" i="62"/>
  <c r="J1317" i="62"/>
  <c r="G1317" i="62"/>
  <c r="F1317" i="62"/>
  <c r="P1316" i="62"/>
  <c r="O1316" i="62"/>
  <c r="N1316" i="62"/>
  <c r="M1316" i="62"/>
  <c r="J1316" i="62"/>
  <c r="G1316" i="62"/>
  <c r="F1316" i="62"/>
  <c r="P1315" i="62"/>
  <c r="O1315" i="62"/>
  <c r="N1315" i="62"/>
  <c r="M1315" i="62"/>
  <c r="J1315" i="62"/>
  <c r="G1315" i="62"/>
  <c r="F1315" i="62"/>
  <c r="P1314" i="62"/>
  <c r="O1314" i="62"/>
  <c r="N1314" i="62"/>
  <c r="M1314" i="62"/>
  <c r="J1314" i="62"/>
  <c r="G1314" i="62"/>
  <c r="F1314" i="62"/>
  <c r="P1313" i="62"/>
  <c r="O1313" i="62"/>
  <c r="N1313" i="62"/>
  <c r="M1313" i="62"/>
  <c r="J1313" i="62"/>
  <c r="G1313" i="62"/>
  <c r="F1313" i="62"/>
  <c r="P1312" i="62"/>
  <c r="O1312" i="62"/>
  <c r="N1312" i="62"/>
  <c r="M1312" i="62"/>
  <c r="J1312" i="62"/>
  <c r="G1312" i="62"/>
  <c r="F1312" i="62"/>
  <c r="P1311" i="62"/>
  <c r="O1311" i="62"/>
  <c r="N1311" i="62"/>
  <c r="M1311" i="62"/>
  <c r="J1311" i="62"/>
  <c r="G1311" i="62"/>
  <c r="F1311" i="62"/>
  <c r="P1310" i="62"/>
  <c r="O1310" i="62"/>
  <c r="N1310" i="62"/>
  <c r="M1310" i="62"/>
  <c r="J1310" i="62"/>
  <c r="G1310" i="62"/>
  <c r="F1310" i="62"/>
  <c r="P1309" i="62"/>
  <c r="O1309" i="62"/>
  <c r="N1309" i="62"/>
  <c r="M1309" i="62"/>
  <c r="J1309" i="62"/>
  <c r="G1309" i="62"/>
  <c r="F1309" i="62"/>
  <c r="P1308" i="62"/>
  <c r="O1308" i="62"/>
  <c r="N1308" i="62"/>
  <c r="M1308" i="62"/>
  <c r="J1308" i="62"/>
  <c r="G1308" i="62"/>
  <c r="F1308" i="62"/>
  <c r="P1307" i="62"/>
  <c r="O1307" i="62"/>
  <c r="N1307" i="62"/>
  <c r="M1307" i="62"/>
  <c r="J1307" i="62"/>
  <c r="G1307" i="62"/>
  <c r="F1307" i="62"/>
  <c r="P1306" i="62"/>
  <c r="O1306" i="62"/>
  <c r="N1306" i="62"/>
  <c r="M1306" i="62"/>
  <c r="J1306" i="62"/>
  <c r="G1306" i="62"/>
  <c r="F1306" i="62"/>
  <c r="P1305" i="62"/>
  <c r="O1305" i="62"/>
  <c r="N1305" i="62"/>
  <c r="M1305" i="62"/>
  <c r="J1305" i="62"/>
  <c r="G1305" i="62"/>
  <c r="F1305" i="62"/>
  <c r="P1304" i="62"/>
  <c r="O1304" i="62"/>
  <c r="N1304" i="62"/>
  <c r="M1304" i="62"/>
  <c r="J1304" i="62"/>
  <c r="G1304" i="62"/>
  <c r="F1304" i="62"/>
  <c r="P1303" i="62"/>
  <c r="O1303" i="62"/>
  <c r="N1303" i="62"/>
  <c r="M1303" i="62"/>
  <c r="J1303" i="62"/>
  <c r="G1303" i="62"/>
  <c r="F1303" i="62"/>
  <c r="P1302" i="62"/>
  <c r="O1302" i="62"/>
  <c r="N1302" i="62"/>
  <c r="M1302" i="62"/>
  <c r="J1302" i="62"/>
  <c r="G1302" i="62"/>
  <c r="F1302" i="62"/>
  <c r="P1301" i="62"/>
  <c r="O1301" i="62"/>
  <c r="N1301" i="62"/>
  <c r="M1301" i="62"/>
  <c r="J1301" i="62"/>
  <c r="G1301" i="62"/>
  <c r="F1301" i="62"/>
  <c r="P1300" i="62"/>
  <c r="O1300" i="62"/>
  <c r="N1300" i="62"/>
  <c r="M1300" i="62"/>
  <c r="J1300" i="62"/>
  <c r="G1300" i="62"/>
  <c r="F1300" i="62"/>
  <c r="P1299" i="62"/>
  <c r="O1299" i="62"/>
  <c r="N1299" i="62"/>
  <c r="M1299" i="62"/>
  <c r="J1299" i="62"/>
  <c r="G1299" i="62"/>
  <c r="F1299" i="62"/>
  <c r="P1298" i="62"/>
  <c r="O1298" i="62"/>
  <c r="N1298" i="62"/>
  <c r="M1298" i="62"/>
  <c r="J1298" i="62"/>
  <c r="G1298" i="62"/>
  <c r="F1298" i="62"/>
  <c r="P1297" i="62"/>
  <c r="O1297" i="62"/>
  <c r="N1297" i="62"/>
  <c r="M1297" i="62"/>
  <c r="J1297" i="62"/>
  <c r="G1297" i="62"/>
  <c r="F1297" i="62"/>
  <c r="P1296" i="62"/>
  <c r="O1296" i="62"/>
  <c r="N1296" i="62"/>
  <c r="M1296" i="62"/>
  <c r="J1296" i="62"/>
  <c r="G1296" i="62"/>
  <c r="F1296" i="62"/>
  <c r="P1295" i="62"/>
  <c r="O1295" i="62"/>
  <c r="N1295" i="62"/>
  <c r="M1295" i="62"/>
  <c r="J1295" i="62"/>
  <c r="G1295" i="62"/>
  <c r="F1295" i="62"/>
  <c r="P1294" i="62"/>
  <c r="O1294" i="62"/>
  <c r="N1294" i="62"/>
  <c r="M1294" i="62"/>
  <c r="J1294" i="62"/>
  <c r="G1294" i="62"/>
  <c r="F1294" i="62"/>
  <c r="P1293" i="62"/>
  <c r="O1293" i="62"/>
  <c r="N1293" i="62"/>
  <c r="M1293" i="62"/>
  <c r="J1293" i="62"/>
  <c r="G1293" i="62"/>
  <c r="F1293" i="62"/>
  <c r="P1292" i="62"/>
  <c r="O1292" i="62"/>
  <c r="N1292" i="62"/>
  <c r="M1292" i="62"/>
  <c r="J1292" i="62"/>
  <c r="G1292" i="62"/>
  <c r="F1292" i="62"/>
  <c r="P1291" i="62"/>
  <c r="O1291" i="62"/>
  <c r="N1291" i="62"/>
  <c r="M1291" i="62"/>
  <c r="J1291" i="62"/>
  <c r="G1291" i="62"/>
  <c r="F1291" i="62"/>
  <c r="P1290" i="62"/>
  <c r="O1290" i="62"/>
  <c r="N1290" i="62"/>
  <c r="M1290" i="62"/>
  <c r="J1290" i="62"/>
  <c r="G1290" i="62"/>
  <c r="F1290" i="62"/>
  <c r="P1289" i="62"/>
  <c r="O1289" i="62"/>
  <c r="N1289" i="62"/>
  <c r="M1289" i="62"/>
  <c r="J1289" i="62"/>
  <c r="G1289" i="62"/>
  <c r="F1289" i="62"/>
  <c r="P1288" i="62"/>
  <c r="O1288" i="62"/>
  <c r="N1288" i="62"/>
  <c r="M1288" i="62"/>
  <c r="J1288" i="62"/>
  <c r="G1288" i="62"/>
  <c r="F1288" i="62"/>
  <c r="P1287" i="62"/>
  <c r="O1287" i="62"/>
  <c r="N1287" i="62"/>
  <c r="M1287" i="62"/>
  <c r="J1287" i="62"/>
  <c r="G1287" i="62"/>
  <c r="F1287" i="62"/>
  <c r="P1286" i="62"/>
  <c r="O1286" i="62"/>
  <c r="N1286" i="62"/>
  <c r="M1286" i="62"/>
  <c r="J1286" i="62"/>
  <c r="G1286" i="62"/>
  <c r="F1286" i="62"/>
  <c r="P1285" i="62"/>
  <c r="O1285" i="62"/>
  <c r="N1285" i="62"/>
  <c r="M1285" i="62"/>
  <c r="J1285" i="62"/>
  <c r="G1285" i="62"/>
  <c r="F1285" i="62"/>
  <c r="P1284" i="62"/>
  <c r="O1284" i="62"/>
  <c r="N1284" i="62"/>
  <c r="M1284" i="62"/>
  <c r="J1284" i="62"/>
  <c r="G1284" i="62"/>
  <c r="F1284" i="62"/>
  <c r="P1283" i="62"/>
  <c r="O1283" i="62"/>
  <c r="N1283" i="62"/>
  <c r="M1283" i="62"/>
  <c r="J1283" i="62"/>
  <c r="G1283" i="62"/>
  <c r="F1283" i="62"/>
  <c r="P1282" i="62"/>
  <c r="O1282" i="62"/>
  <c r="N1282" i="62"/>
  <c r="M1282" i="62"/>
  <c r="J1282" i="62"/>
  <c r="G1282" i="62"/>
  <c r="F1282" i="62"/>
  <c r="P1281" i="62"/>
  <c r="O1281" i="62"/>
  <c r="N1281" i="62"/>
  <c r="M1281" i="62"/>
  <c r="J1281" i="62"/>
  <c r="G1281" i="62"/>
  <c r="F1281" i="62"/>
  <c r="P1280" i="62"/>
  <c r="O1280" i="62"/>
  <c r="N1280" i="62"/>
  <c r="M1280" i="62"/>
  <c r="J1280" i="62"/>
  <c r="G1280" i="62"/>
  <c r="F1280" i="62"/>
  <c r="P1279" i="62"/>
  <c r="O1279" i="62"/>
  <c r="N1279" i="62"/>
  <c r="M1279" i="62"/>
  <c r="J1279" i="62"/>
  <c r="G1279" i="62"/>
  <c r="F1279" i="62"/>
  <c r="P1278" i="62"/>
  <c r="O1278" i="62"/>
  <c r="N1278" i="62"/>
  <c r="M1278" i="62"/>
  <c r="J1278" i="62"/>
  <c r="G1278" i="62"/>
  <c r="F1278" i="62"/>
  <c r="P1277" i="62"/>
  <c r="O1277" i="62"/>
  <c r="N1277" i="62"/>
  <c r="M1277" i="62"/>
  <c r="J1277" i="62"/>
  <c r="G1277" i="62"/>
  <c r="F1277" i="62"/>
  <c r="P1276" i="62"/>
  <c r="O1276" i="62"/>
  <c r="N1276" i="62"/>
  <c r="M1276" i="62"/>
  <c r="J1276" i="62"/>
  <c r="G1276" i="62"/>
  <c r="F1276" i="62"/>
  <c r="P1275" i="62"/>
  <c r="O1275" i="62"/>
  <c r="N1275" i="62"/>
  <c r="M1275" i="62"/>
  <c r="J1275" i="62"/>
  <c r="G1275" i="62"/>
  <c r="F1275" i="62"/>
  <c r="P1274" i="62"/>
  <c r="O1274" i="62"/>
  <c r="N1274" i="62"/>
  <c r="M1274" i="62"/>
  <c r="J1274" i="62"/>
  <c r="G1274" i="62"/>
  <c r="F1274" i="62"/>
  <c r="P1273" i="62"/>
  <c r="O1273" i="62"/>
  <c r="N1273" i="62"/>
  <c r="M1273" i="62"/>
  <c r="J1273" i="62"/>
  <c r="G1273" i="62"/>
  <c r="F1273" i="62"/>
  <c r="P1272" i="62"/>
  <c r="O1272" i="62"/>
  <c r="N1272" i="62"/>
  <c r="M1272" i="62"/>
  <c r="J1272" i="62"/>
  <c r="G1272" i="62"/>
  <c r="F1272" i="62"/>
  <c r="P1271" i="62"/>
  <c r="O1271" i="62"/>
  <c r="N1271" i="62"/>
  <c r="M1271" i="62"/>
  <c r="J1271" i="62"/>
  <c r="G1271" i="62"/>
  <c r="F1271" i="62"/>
  <c r="P1270" i="62"/>
  <c r="O1270" i="62"/>
  <c r="N1270" i="62"/>
  <c r="M1270" i="62"/>
  <c r="J1270" i="62"/>
  <c r="G1270" i="62"/>
  <c r="F1270" i="62"/>
  <c r="P1269" i="62"/>
  <c r="O1269" i="62"/>
  <c r="N1269" i="62"/>
  <c r="M1269" i="62"/>
  <c r="J1269" i="62"/>
  <c r="G1269" i="62"/>
  <c r="F1269" i="62"/>
  <c r="P1268" i="62"/>
  <c r="O1268" i="62"/>
  <c r="N1268" i="62"/>
  <c r="M1268" i="62"/>
  <c r="J1268" i="62"/>
  <c r="G1268" i="62"/>
  <c r="F1268" i="62"/>
  <c r="P1267" i="62"/>
  <c r="O1267" i="62"/>
  <c r="N1267" i="62"/>
  <c r="M1267" i="62"/>
  <c r="J1267" i="62"/>
  <c r="G1267" i="62"/>
  <c r="F1267" i="62"/>
  <c r="P1266" i="62"/>
  <c r="O1266" i="62"/>
  <c r="N1266" i="62"/>
  <c r="M1266" i="62"/>
  <c r="J1266" i="62"/>
  <c r="G1266" i="62"/>
  <c r="F1266" i="62"/>
  <c r="P1265" i="62"/>
  <c r="O1265" i="62"/>
  <c r="N1265" i="62"/>
  <c r="M1265" i="62"/>
  <c r="J1265" i="62"/>
  <c r="G1265" i="62"/>
  <c r="F1265" i="62"/>
  <c r="P1264" i="62"/>
  <c r="O1264" i="62"/>
  <c r="N1264" i="62"/>
  <c r="M1264" i="62"/>
  <c r="J1264" i="62"/>
  <c r="G1264" i="62"/>
  <c r="F1264" i="62"/>
  <c r="P1263" i="62"/>
  <c r="O1263" i="62"/>
  <c r="N1263" i="62"/>
  <c r="M1263" i="62"/>
  <c r="J1263" i="62"/>
  <c r="G1263" i="62"/>
  <c r="F1263" i="62"/>
  <c r="P1262" i="62"/>
  <c r="O1262" i="62"/>
  <c r="N1262" i="62"/>
  <c r="M1262" i="62"/>
  <c r="J1262" i="62"/>
  <c r="G1262" i="62"/>
  <c r="F1262" i="62"/>
  <c r="P1261" i="62"/>
  <c r="O1261" i="62"/>
  <c r="N1261" i="62"/>
  <c r="M1261" i="62"/>
  <c r="J1261" i="62"/>
  <c r="G1261" i="62"/>
  <c r="F1261" i="62"/>
  <c r="P1260" i="62"/>
  <c r="O1260" i="62"/>
  <c r="N1260" i="62"/>
  <c r="M1260" i="62"/>
  <c r="J1260" i="62"/>
  <c r="G1260" i="62"/>
  <c r="F1260" i="62"/>
  <c r="P1259" i="62"/>
  <c r="O1259" i="62"/>
  <c r="N1259" i="62"/>
  <c r="M1259" i="62"/>
  <c r="J1259" i="62"/>
  <c r="G1259" i="62"/>
  <c r="F1259" i="62"/>
  <c r="P1258" i="62"/>
  <c r="O1258" i="62"/>
  <c r="N1258" i="62"/>
  <c r="M1258" i="62"/>
  <c r="J1258" i="62"/>
  <c r="G1258" i="62"/>
  <c r="F1258" i="62"/>
  <c r="P1257" i="62"/>
  <c r="O1257" i="62"/>
  <c r="N1257" i="62"/>
  <c r="M1257" i="62"/>
  <c r="J1257" i="62"/>
  <c r="G1257" i="62"/>
  <c r="F1257" i="62"/>
  <c r="P1256" i="62"/>
  <c r="O1256" i="62"/>
  <c r="N1256" i="62"/>
  <c r="M1256" i="62"/>
  <c r="J1256" i="62"/>
  <c r="G1256" i="62"/>
  <c r="F1256" i="62"/>
  <c r="P1255" i="62"/>
  <c r="O1255" i="62"/>
  <c r="N1255" i="62"/>
  <c r="M1255" i="62"/>
  <c r="J1255" i="62"/>
  <c r="G1255" i="62"/>
  <c r="F1255" i="62"/>
  <c r="P1254" i="62"/>
  <c r="O1254" i="62"/>
  <c r="N1254" i="62"/>
  <c r="M1254" i="62"/>
  <c r="J1254" i="62"/>
  <c r="G1254" i="62"/>
  <c r="F1254" i="62"/>
  <c r="P1253" i="62"/>
  <c r="O1253" i="62"/>
  <c r="N1253" i="62"/>
  <c r="M1253" i="62"/>
  <c r="J1253" i="62"/>
  <c r="G1253" i="62"/>
  <c r="F1253" i="62"/>
  <c r="P1252" i="62"/>
  <c r="O1252" i="62"/>
  <c r="N1252" i="62"/>
  <c r="M1252" i="62"/>
  <c r="J1252" i="62"/>
  <c r="G1252" i="62"/>
  <c r="F1252" i="62"/>
  <c r="P1251" i="62"/>
  <c r="O1251" i="62"/>
  <c r="N1251" i="62"/>
  <c r="M1251" i="62"/>
  <c r="J1251" i="62"/>
  <c r="G1251" i="62"/>
  <c r="F1251" i="62"/>
  <c r="P1250" i="62"/>
  <c r="O1250" i="62"/>
  <c r="N1250" i="62"/>
  <c r="M1250" i="62"/>
  <c r="J1250" i="62"/>
  <c r="G1250" i="62"/>
  <c r="F1250" i="62"/>
  <c r="P1249" i="62"/>
  <c r="O1249" i="62"/>
  <c r="N1249" i="62"/>
  <c r="M1249" i="62"/>
  <c r="J1249" i="62"/>
  <c r="G1249" i="62"/>
  <c r="F1249" i="62"/>
  <c r="P1248" i="62"/>
  <c r="O1248" i="62"/>
  <c r="N1248" i="62"/>
  <c r="M1248" i="62"/>
  <c r="J1248" i="62"/>
  <c r="G1248" i="62"/>
  <c r="F1248" i="62"/>
  <c r="P1247" i="62"/>
  <c r="O1247" i="62"/>
  <c r="N1247" i="62"/>
  <c r="M1247" i="62"/>
  <c r="J1247" i="62"/>
  <c r="G1247" i="62"/>
  <c r="F1247" i="62"/>
  <c r="P1246" i="62"/>
  <c r="O1246" i="62"/>
  <c r="N1246" i="62"/>
  <c r="M1246" i="62"/>
  <c r="J1246" i="62"/>
  <c r="G1246" i="62"/>
  <c r="F1246" i="62"/>
  <c r="P1245" i="62"/>
  <c r="O1245" i="62"/>
  <c r="N1245" i="62"/>
  <c r="M1245" i="62"/>
  <c r="J1245" i="62"/>
  <c r="G1245" i="62"/>
  <c r="F1245" i="62"/>
  <c r="P1244" i="62"/>
  <c r="O1244" i="62"/>
  <c r="N1244" i="62"/>
  <c r="M1244" i="62"/>
  <c r="J1244" i="62"/>
  <c r="G1244" i="62"/>
  <c r="F1244" i="62"/>
  <c r="P1243" i="62"/>
  <c r="O1243" i="62"/>
  <c r="N1243" i="62"/>
  <c r="M1243" i="62"/>
  <c r="J1243" i="62"/>
  <c r="G1243" i="62"/>
  <c r="F1243" i="62"/>
  <c r="P1242" i="62"/>
  <c r="O1242" i="62"/>
  <c r="N1242" i="62"/>
  <c r="M1242" i="62"/>
  <c r="J1242" i="62"/>
  <c r="G1242" i="62"/>
  <c r="F1242" i="62"/>
  <c r="P1241" i="62"/>
  <c r="O1241" i="62"/>
  <c r="N1241" i="62"/>
  <c r="M1241" i="62"/>
  <c r="J1241" i="62"/>
  <c r="G1241" i="62"/>
  <c r="F1241" i="62"/>
  <c r="P1240" i="62"/>
  <c r="O1240" i="62"/>
  <c r="N1240" i="62"/>
  <c r="M1240" i="62"/>
  <c r="J1240" i="62"/>
  <c r="G1240" i="62"/>
  <c r="F1240" i="62"/>
  <c r="P1239" i="62"/>
  <c r="O1239" i="62"/>
  <c r="N1239" i="62"/>
  <c r="M1239" i="62"/>
  <c r="J1239" i="62"/>
  <c r="G1239" i="62"/>
  <c r="F1239" i="62"/>
  <c r="P1238" i="62"/>
  <c r="O1238" i="62"/>
  <c r="N1238" i="62"/>
  <c r="M1238" i="62"/>
  <c r="J1238" i="62"/>
  <c r="G1238" i="62"/>
  <c r="F1238" i="62"/>
  <c r="P1237" i="62"/>
  <c r="O1237" i="62"/>
  <c r="N1237" i="62"/>
  <c r="M1237" i="62"/>
  <c r="J1237" i="62"/>
  <c r="G1237" i="62"/>
  <c r="F1237" i="62"/>
  <c r="P1236" i="62"/>
  <c r="O1236" i="62"/>
  <c r="N1236" i="62"/>
  <c r="M1236" i="62"/>
  <c r="J1236" i="62"/>
  <c r="G1236" i="62"/>
  <c r="F1236" i="62"/>
  <c r="P1235" i="62"/>
  <c r="O1235" i="62"/>
  <c r="N1235" i="62"/>
  <c r="M1235" i="62"/>
  <c r="J1235" i="62"/>
  <c r="G1235" i="62"/>
  <c r="F1235" i="62"/>
  <c r="P1234" i="62"/>
  <c r="O1234" i="62"/>
  <c r="N1234" i="62"/>
  <c r="M1234" i="62"/>
  <c r="J1234" i="62"/>
  <c r="G1234" i="62"/>
  <c r="F1234" i="62"/>
  <c r="P1233" i="62"/>
  <c r="O1233" i="62"/>
  <c r="N1233" i="62"/>
  <c r="M1233" i="62"/>
  <c r="J1233" i="62"/>
  <c r="G1233" i="62"/>
  <c r="F1233" i="62"/>
  <c r="P1232" i="62"/>
  <c r="O1232" i="62"/>
  <c r="N1232" i="62"/>
  <c r="M1232" i="62"/>
  <c r="J1232" i="62"/>
  <c r="G1232" i="62"/>
  <c r="F1232" i="62"/>
  <c r="P1231" i="62"/>
  <c r="O1231" i="62"/>
  <c r="N1231" i="62"/>
  <c r="M1231" i="62"/>
  <c r="J1231" i="62"/>
  <c r="G1231" i="62"/>
  <c r="F1231" i="62"/>
  <c r="P1230" i="62"/>
  <c r="O1230" i="62"/>
  <c r="N1230" i="62"/>
  <c r="M1230" i="62"/>
  <c r="J1230" i="62"/>
  <c r="G1230" i="62"/>
  <c r="F1230" i="62"/>
  <c r="P1229" i="62"/>
  <c r="O1229" i="62"/>
  <c r="N1229" i="62"/>
  <c r="M1229" i="62"/>
  <c r="J1229" i="62"/>
  <c r="G1229" i="62"/>
  <c r="F1229" i="62"/>
  <c r="P1228" i="62"/>
  <c r="O1228" i="62"/>
  <c r="N1228" i="62"/>
  <c r="M1228" i="62"/>
  <c r="J1228" i="62"/>
  <c r="G1228" i="62"/>
  <c r="F1228" i="62"/>
  <c r="P1227" i="62"/>
  <c r="O1227" i="62"/>
  <c r="N1227" i="62"/>
  <c r="M1227" i="62"/>
  <c r="J1227" i="62"/>
  <c r="G1227" i="62"/>
  <c r="F1227" i="62"/>
  <c r="P1226" i="62"/>
  <c r="O1226" i="62"/>
  <c r="N1226" i="62"/>
  <c r="M1226" i="62"/>
  <c r="J1226" i="62"/>
  <c r="G1226" i="62"/>
  <c r="F1226" i="62"/>
  <c r="P1225" i="62"/>
  <c r="O1225" i="62"/>
  <c r="N1225" i="62"/>
  <c r="M1225" i="62"/>
  <c r="J1225" i="62"/>
  <c r="G1225" i="62"/>
  <c r="F1225" i="62"/>
  <c r="P1224" i="62"/>
  <c r="O1224" i="62"/>
  <c r="N1224" i="62"/>
  <c r="M1224" i="62"/>
  <c r="J1224" i="62"/>
  <c r="G1224" i="62"/>
  <c r="F1224" i="62"/>
  <c r="P1223" i="62"/>
  <c r="O1223" i="62"/>
  <c r="N1223" i="62"/>
  <c r="M1223" i="62"/>
  <c r="J1223" i="62"/>
  <c r="G1223" i="62"/>
  <c r="F1223" i="62"/>
  <c r="P1222" i="62"/>
  <c r="O1222" i="62"/>
  <c r="N1222" i="62"/>
  <c r="M1222" i="62"/>
  <c r="J1222" i="62"/>
  <c r="G1222" i="62"/>
  <c r="F1222" i="62"/>
  <c r="P1221" i="62"/>
  <c r="O1221" i="62"/>
  <c r="N1221" i="62"/>
  <c r="M1221" i="62"/>
  <c r="J1221" i="62"/>
  <c r="G1221" i="62"/>
  <c r="F1221" i="62"/>
  <c r="P1220" i="62"/>
  <c r="O1220" i="62"/>
  <c r="N1220" i="62"/>
  <c r="M1220" i="62"/>
  <c r="J1220" i="62"/>
  <c r="G1220" i="62"/>
  <c r="F1220" i="62"/>
  <c r="P1219" i="62"/>
  <c r="O1219" i="62"/>
  <c r="N1219" i="62"/>
  <c r="M1219" i="62"/>
  <c r="J1219" i="62"/>
  <c r="G1219" i="62"/>
  <c r="F1219" i="62"/>
  <c r="P1218" i="62"/>
  <c r="O1218" i="62"/>
  <c r="N1218" i="62"/>
  <c r="M1218" i="62"/>
  <c r="J1218" i="62"/>
  <c r="G1218" i="62"/>
  <c r="F1218" i="62"/>
  <c r="P1217" i="62"/>
  <c r="O1217" i="62"/>
  <c r="N1217" i="62"/>
  <c r="M1217" i="62"/>
  <c r="J1217" i="62"/>
  <c r="G1217" i="62"/>
  <c r="F1217" i="62"/>
  <c r="P1216" i="62"/>
  <c r="O1216" i="62"/>
  <c r="N1216" i="62"/>
  <c r="M1216" i="62"/>
  <c r="J1216" i="62"/>
  <c r="G1216" i="62"/>
  <c r="F1216" i="62"/>
  <c r="P1215" i="62"/>
  <c r="O1215" i="62"/>
  <c r="N1215" i="62"/>
  <c r="M1215" i="62"/>
  <c r="J1215" i="62"/>
  <c r="G1215" i="62"/>
  <c r="F1215" i="62"/>
  <c r="P1214" i="62"/>
  <c r="O1214" i="62"/>
  <c r="N1214" i="62"/>
  <c r="M1214" i="62"/>
  <c r="J1214" i="62"/>
  <c r="G1214" i="62"/>
  <c r="F1214" i="62"/>
  <c r="P1213" i="62"/>
  <c r="O1213" i="62"/>
  <c r="N1213" i="62"/>
  <c r="M1213" i="62"/>
  <c r="J1213" i="62"/>
  <c r="G1213" i="62"/>
  <c r="F1213" i="62"/>
  <c r="P1212" i="62"/>
  <c r="O1212" i="62"/>
  <c r="N1212" i="62"/>
  <c r="M1212" i="62"/>
  <c r="J1212" i="62"/>
  <c r="G1212" i="62"/>
  <c r="F1212" i="62"/>
  <c r="P1211" i="62"/>
  <c r="O1211" i="62"/>
  <c r="N1211" i="62"/>
  <c r="M1211" i="62"/>
  <c r="J1211" i="62"/>
  <c r="G1211" i="62"/>
  <c r="F1211" i="62"/>
  <c r="P1210" i="62"/>
  <c r="O1210" i="62"/>
  <c r="N1210" i="62"/>
  <c r="M1210" i="62"/>
  <c r="J1210" i="62"/>
  <c r="G1210" i="62"/>
  <c r="F1210" i="62"/>
  <c r="P1209" i="62"/>
  <c r="O1209" i="62"/>
  <c r="N1209" i="62"/>
  <c r="M1209" i="62"/>
  <c r="J1209" i="62"/>
  <c r="G1209" i="62"/>
  <c r="F1209" i="62"/>
  <c r="P1208" i="62"/>
  <c r="O1208" i="62"/>
  <c r="N1208" i="62"/>
  <c r="M1208" i="62"/>
  <c r="J1208" i="62"/>
  <c r="G1208" i="62"/>
  <c r="F1208" i="62"/>
  <c r="P1207" i="62"/>
  <c r="O1207" i="62"/>
  <c r="N1207" i="62"/>
  <c r="M1207" i="62"/>
  <c r="J1207" i="62"/>
  <c r="G1207" i="62"/>
  <c r="F1207" i="62"/>
  <c r="P1206" i="62"/>
  <c r="O1206" i="62"/>
  <c r="N1206" i="62"/>
  <c r="M1206" i="62"/>
  <c r="J1206" i="62"/>
  <c r="G1206" i="62"/>
  <c r="F1206" i="62"/>
  <c r="P1205" i="62"/>
  <c r="O1205" i="62"/>
  <c r="N1205" i="62"/>
  <c r="M1205" i="62"/>
  <c r="J1205" i="62"/>
  <c r="G1205" i="62"/>
  <c r="F1205" i="62"/>
  <c r="P1204" i="62"/>
  <c r="O1204" i="62"/>
  <c r="N1204" i="62"/>
  <c r="M1204" i="62"/>
  <c r="J1204" i="62"/>
  <c r="G1204" i="62"/>
  <c r="F1204" i="62"/>
  <c r="P1203" i="62"/>
  <c r="O1203" i="62"/>
  <c r="N1203" i="62"/>
  <c r="M1203" i="62"/>
  <c r="J1203" i="62"/>
  <c r="G1203" i="62"/>
  <c r="F1203" i="62"/>
  <c r="P1202" i="62"/>
  <c r="O1202" i="62"/>
  <c r="N1202" i="62"/>
  <c r="M1202" i="62"/>
  <c r="J1202" i="62"/>
  <c r="G1202" i="62"/>
  <c r="F1202" i="62"/>
  <c r="P1201" i="62"/>
  <c r="O1201" i="62"/>
  <c r="N1201" i="62"/>
  <c r="M1201" i="62"/>
  <c r="J1201" i="62"/>
  <c r="G1201" i="62"/>
  <c r="F1201" i="62"/>
  <c r="P1200" i="62"/>
  <c r="O1200" i="62"/>
  <c r="N1200" i="62"/>
  <c r="M1200" i="62"/>
  <c r="J1200" i="62"/>
  <c r="G1200" i="62"/>
  <c r="F1200" i="62"/>
  <c r="P1199" i="62"/>
  <c r="O1199" i="62"/>
  <c r="N1199" i="62"/>
  <c r="M1199" i="62"/>
  <c r="J1199" i="62"/>
  <c r="G1199" i="62"/>
  <c r="F1199" i="62"/>
  <c r="P1198" i="62"/>
  <c r="O1198" i="62"/>
  <c r="N1198" i="62"/>
  <c r="M1198" i="62"/>
  <c r="J1198" i="62"/>
  <c r="G1198" i="62"/>
  <c r="F1198" i="62"/>
  <c r="P1197" i="62"/>
  <c r="O1197" i="62"/>
  <c r="N1197" i="62"/>
  <c r="M1197" i="62"/>
  <c r="J1197" i="62"/>
  <c r="G1197" i="62"/>
  <c r="F1197" i="62"/>
  <c r="P1196" i="62"/>
  <c r="O1196" i="62"/>
  <c r="N1196" i="62"/>
  <c r="M1196" i="62"/>
  <c r="J1196" i="62"/>
  <c r="G1196" i="62"/>
  <c r="F1196" i="62"/>
  <c r="P1195" i="62"/>
  <c r="O1195" i="62"/>
  <c r="N1195" i="62"/>
  <c r="M1195" i="62"/>
  <c r="J1195" i="62"/>
  <c r="G1195" i="62"/>
  <c r="F1195" i="62"/>
  <c r="P1194" i="62"/>
  <c r="O1194" i="62"/>
  <c r="N1194" i="62"/>
  <c r="M1194" i="62"/>
  <c r="J1194" i="62"/>
  <c r="G1194" i="62"/>
  <c r="F1194" i="62"/>
  <c r="P1193" i="62"/>
  <c r="O1193" i="62"/>
  <c r="N1193" i="62"/>
  <c r="M1193" i="62"/>
  <c r="J1193" i="62"/>
  <c r="G1193" i="62"/>
  <c r="F1193" i="62"/>
  <c r="P1192" i="62"/>
  <c r="O1192" i="62"/>
  <c r="N1192" i="62"/>
  <c r="M1192" i="62"/>
  <c r="J1192" i="62"/>
  <c r="G1192" i="62"/>
  <c r="F1192" i="62"/>
  <c r="P1191" i="62"/>
  <c r="O1191" i="62"/>
  <c r="N1191" i="62"/>
  <c r="M1191" i="62"/>
  <c r="J1191" i="62"/>
  <c r="G1191" i="62"/>
  <c r="F1191" i="62"/>
  <c r="P1190" i="62"/>
  <c r="O1190" i="62"/>
  <c r="N1190" i="62"/>
  <c r="M1190" i="62"/>
  <c r="J1190" i="62"/>
  <c r="G1190" i="62"/>
  <c r="F1190" i="62"/>
  <c r="P1189" i="62"/>
  <c r="O1189" i="62"/>
  <c r="N1189" i="62"/>
  <c r="M1189" i="62"/>
  <c r="J1189" i="62"/>
  <c r="G1189" i="62"/>
  <c r="F1189" i="62"/>
  <c r="P1188" i="62"/>
  <c r="O1188" i="62"/>
  <c r="N1188" i="62"/>
  <c r="M1188" i="62"/>
  <c r="J1188" i="62"/>
  <c r="G1188" i="62"/>
  <c r="F1188" i="62"/>
  <c r="P1187" i="62"/>
  <c r="O1187" i="62"/>
  <c r="N1187" i="62"/>
  <c r="M1187" i="62"/>
  <c r="J1187" i="62"/>
  <c r="G1187" i="62"/>
  <c r="F1187" i="62"/>
  <c r="P1186" i="62"/>
  <c r="O1186" i="62"/>
  <c r="N1186" i="62"/>
  <c r="M1186" i="62"/>
  <c r="J1186" i="62"/>
  <c r="G1186" i="62"/>
  <c r="F1186" i="62"/>
  <c r="P1185" i="62"/>
  <c r="O1185" i="62"/>
  <c r="N1185" i="62"/>
  <c r="M1185" i="62"/>
  <c r="J1185" i="62"/>
  <c r="G1185" i="62"/>
  <c r="F1185" i="62"/>
  <c r="P1184" i="62"/>
  <c r="O1184" i="62"/>
  <c r="N1184" i="62"/>
  <c r="M1184" i="62"/>
  <c r="J1184" i="62"/>
  <c r="G1184" i="62"/>
  <c r="F1184" i="62"/>
  <c r="P1183" i="62"/>
  <c r="O1183" i="62"/>
  <c r="N1183" i="62"/>
  <c r="M1183" i="62"/>
  <c r="J1183" i="62"/>
  <c r="G1183" i="62"/>
  <c r="F1183" i="62"/>
  <c r="P1182" i="62"/>
  <c r="O1182" i="62"/>
  <c r="N1182" i="62"/>
  <c r="M1182" i="62"/>
  <c r="J1182" i="62"/>
  <c r="G1182" i="62"/>
  <c r="F1182" i="62"/>
  <c r="P1181" i="62"/>
  <c r="O1181" i="62"/>
  <c r="N1181" i="62"/>
  <c r="M1181" i="62"/>
  <c r="J1181" i="62"/>
  <c r="G1181" i="62"/>
  <c r="F1181" i="62"/>
  <c r="P1180" i="62"/>
  <c r="O1180" i="62"/>
  <c r="N1180" i="62"/>
  <c r="M1180" i="62"/>
  <c r="J1180" i="62"/>
  <c r="G1180" i="62"/>
  <c r="F1180" i="62"/>
  <c r="P1179" i="62"/>
  <c r="O1179" i="62"/>
  <c r="N1179" i="62"/>
  <c r="M1179" i="62"/>
  <c r="J1179" i="62"/>
  <c r="G1179" i="62"/>
  <c r="F1179" i="62"/>
  <c r="P1178" i="62"/>
  <c r="O1178" i="62"/>
  <c r="N1178" i="62"/>
  <c r="M1178" i="62"/>
  <c r="J1178" i="62"/>
  <c r="G1178" i="62"/>
  <c r="F1178" i="62"/>
  <c r="P1177" i="62"/>
  <c r="O1177" i="62"/>
  <c r="N1177" i="62"/>
  <c r="M1177" i="62"/>
  <c r="J1177" i="62"/>
  <c r="G1177" i="62"/>
  <c r="F1177" i="62"/>
  <c r="P1176" i="62"/>
  <c r="O1176" i="62"/>
  <c r="N1176" i="62"/>
  <c r="M1176" i="62"/>
  <c r="J1176" i="62"/>
  <c r="G1176" i="62"/>
  <c r="F1176" i="62"/>
  <c r="P1175" i="62"/>
  <c r="O1175" i="62"/>
  <c r="N1175" i="62"/>
  <c r="M1175" i="62"/>
  <c r="J1175" i="62"/>
  <c r="G1175" i="62"/>
  <c r="F1175" i="62"/>
  <c r="P1174" i="62"/>
  <c r="O1174" i="62"/>
  <c r="N1174" i="62"/>
  <c r="M1174" i="62"/>
  <c r="J1174" i="62"/>
  <c r="G1174" i="62"/>
  <c r="F1174" i="62"/>
  <c r="P1173" i="62"/>
  <c r="O1173" i="62"/>
  <c r="N1173" i="62"/>
  <c r="M1173" i="62"/>
  <c r="J1173" i="62"/>
  <c r="G1173" i="62"/>
  <c r="F1173" i="62"/>
  <c r="P1172" i="62"/>
  <c r="O1172" i="62"/>
  <c r="N1172" i="62"/>
  <c r="M1172" i="62"/>
  <c r="J1172" i="62"/>
  <c r="G1172" i="62"/>
  <c r="F1172" i="62"/>
  <c r="P1171" i="62"/>
  <c r="O1171" i="62"/>
  <c r="N1171" i="62"/>
  <c r="M1171" i="62"/>
  <c r="J1171" i="62"/>
  <c r="G1171" i="62"/>
  <c r="F1171" i="62"/>
  <c r="P1170" i="62"/>
  <c r="O1170" i="62"/>
  <c r="N1170" i="62"/>
  <c r="M1170" i="62"/>
  <c r="J1170" i="62"/>
  <c r="G1170" i="62"/>
  <c r="F1170" i="62"/>
  <c r="P1169" i="62"/>
  <c r="O1169" i="62"/>
  <c r="N1169" i="62"/>
  <c r="M1169" i="62"/>
  <c r="J1169" i="62"/>
  <c r="G1169" i="62"/>
  <c r="F1169" i="62"/>
  <c r="P1168" i="62"/>
  <c r="O1168" i="62"/>
  <c r="N1168" i="62"/>
  <c r="M1168" i="62"/>
  <c r="J1168" i="62"/>
  <c r="G1168" i="62"/>
  <c r="F1168" i="62"/>
  <c r="P1167" i="62"/>
  <c r="O1167" i="62"/>
  <c r="N1167" i="62"/>
  <c r="M1167" i="62"/>
  <c r="J1167" i="62"/>
  <c r="G1167" i="62"/>
  <c r="F1167" i="62"/>
  <c r="P1166" i="62"/>
  <c r="O1166" i="62"/>
  <c r="N1166" i="62"/>
  <c r="M1166" i="62"/>
  <c r="J1166" i="62"/>
  <c r="G1166" i="62"/>
  <c r="F1166" i="62"/>
  <c r="P1165" i="62"/>
  <c r="O1165" i="62"/>
  <c r="N1165" i="62"/>
  <c r="M1165" i="62"/>
  <c r="J1165" i="62"/>
  <c r="G1165" i="62"/>
  <c r="F1165" i="62"/>
  <c r="P1164" i="62"/>
  <c r="O1164" i="62"/>
  <c r="N1164" i="62"/>
  <c r="M1164" i="62"/>
  <c r="J1164" i="62"/>
  <c r="G1164" i="62"/>
  <c r="F1164" i="62"/>
  <c r="P1163" i="62"/>
  <c r="O1163" i="62"/>
  <c r="N1163" i="62"/>
  <c r="M1163" i="62"/>
  <c r="J1163" i="62"/>
  <c r="G1163" i="62"/>
  <c r="F1163" i="62"/>
  <c r="P1162" i="62"/>
  <c r="O1162" i="62"/>
  <c r="N1162" i="62"/>
  <c r="M1162" i="62"/>
  <c r="J1162" i="62"/>
  <c r="G1162" i="62"/>
  <c r="F1162" i="62"/>
  <c r="P1161" i="62"/>
  <c r="O1161" i="62"/>
  <c r="N1161" i="62"/>
  <c r="M1161" i="62"/>
  <c r="J1161" i="62"/>
  <c r="G1161" i="62"/>
  <c r="F1161" i="62"/>
  <c r="P1160" i="62"/>
  <c r="O1160" i="62"/>
  <c r="N1160" i="62"/>
  <c r="M1160" i="62"/>
  <c r="J1160" i="62"/>
  <c r="G1160" i="62"/>
  <c r="F1160" i="62"/>
  <c r="P1159" i="62"/>
  <c r="O1159" i="62"/>
  <c r="N1159" i="62"/>
  <c r="M1159" i="62"/>
  <c r="J1159" i="62"/>
  <c r="G1159" i="62"/>
  <c r="F1159" i="62"/>
  <c r="P1158" i="62"/>
  <c r="O1158" i="62"/>
  <c r="N1158" i="62"/>
  <c r="M1158" i="62"/>
  <c r="J1158" i="62"/>
  <c r="G1158" i="62"/>
  <c r="F1158" i="62"/>
  <c r="P1157" i="62"/>
  <c r="O1157" i="62"/>
  <c r="N1157" i="62"/>
  <c r="M1157" i="62"/>
  <c r="J1157" i="62"/>
  <c r="G1157" i="62"/>
  <c r="F1157" i="62"/>
  <c r="P1156" i="62"/>
  <c r="O1156" i="62"/>
  <c r="N1156" i="62"/>
  <c r="M1156" i="62"/>
  <c r="J1156" i="62"/>
  <c r="G1156" i="62"/>
  <c r="F1156" i="62"/>
  <c r="P1155" i="62"/>
  <c r="O1155" i="62"/>
  <c r="N1155" i="62"/>
  <c r="M1155" i="62"/>
  <c r="J1155" i="62"/>
  <c r="G1155" i="62"/>
  <c r="F1155" i="62"/>
  <c r="P1154" i="62"/>
  <c r="O1154" i="62"/>
  <c r="N1154" i="62"/>
  <c r="M1154" i="62"/>
  <c r="J1154" i="62"/>
  <c r="G1154" i="62"/>
  <c r="F1154" i="62"/>
  <c r="P1153" i="62"/>
  <c r="O1153" i="62"/>
  <c r="N1153" i="62"/>
  <c r="M1153" i="62"/>
  <c r="J1153" i="62"/>
  <c r="G1153" i="62"/>
  <c r="F1153" i="62"/>
  <c r="P1152" i="62"/>
  <c r="O1152" i="62"/>
  <c r="N1152" i="62"/>
  <c r="M1152" i="62"/>
  <c r="J1152" i="62"/>
  <c r="G1152" i="62"/>
  <c r="F1152" i="62"/>
  <c r="P1151" i="62"/>
  <c r="O1151" i="62"/>
  <c r="N1151" i="62"/>
  <c r="M1151" i="62"/>
  <c r="J1151" i="62"/>
  <c r="G1151" i="62"/>
  <c r="F1151" i="62"/>
  <c r="P1150" i="62"/>
  <c r="O1150" i="62"/>
  <c r="N1150" i="62"/>
  <c r="M1150" i="62"/>
  <c r="J1150" i="62"/>
  <c r="G1150" i="62"/>
  <c r="F1150" i="62"/>
  <c r="P1149" i="62"/>
  <c r="O1149" i="62"/>
  <c r="N1149" i="62"/>
  <c r="M1149" i="62"/>
  <c r="J1149" i="62"/>
  <c r="G1149" i="62"/>
  <c r="F1149" i="62"/>
  <c r="P1148" i="62"/>
  <c r="O1148" i="62"/>
  <c r="N1148" i="62"/>
  <c r="M1148" i="62"/>
  <c r="J1148" i="62"/>
  <c r="G1148" i="62"/>
  <c r="F1148" i="62"/>
  <c r="P1147" i="62"/>
  <c r="O1147" i="62"/>
  <c r="N1147" i="62"/>
  <c r="M1147" i="62"/>
  <c r="J1147" i="62"/>
  <c r="G1147" i="62"/>
  <c r="F1147" i="62"/>
  <c r="P1146" i="62"/>
  <c r="O1146" i="62"/>
  <c r="N1146" i="62"/>
  <c r="M1146" i="62"/>
  <c r="J1146" i="62"/>
  <c r="G1146" i="62"/>
  <c r="F1146" i="62"/>
  <c r="P1145" i="62"/>
  <c r="O1145" i="62"/>
  <c r="N1145" i="62"/>
  <c r="M1145" i="62"/>
  <c r="J1145" i="62"/>
  <c r="G1145" i="62"/>
  <c r="F1145" i="62"/>
  <c r="P1144" i="62"/>
  <c r="O1144" i="62"/>
  <c r="N1144" i="62"/>
  <c r="M1144" i="62"/>
  <c r="J1144" i="62"/>
  <c r="G1144" i="62"/>
  <c r="F1144" i="62"/>
  <c r="P1143" i="62"/>
  <c r="O1143" i="62"/>
  <c r="N1143" i="62"/>
  <c r="M1143" i="62"/>
  <c r="J1143" i="62"/>
  <c r="G1143" i="62"/>
  <c r="F1143" i="62"/>
  <c r="P1142" i="62"/>
  <c r="O1142" i="62"/>
  <c r="N1142" i="62"/>
  <c r="M1142" i="62"/>
  <c r="J1142" i="62"/>
  <c r="G1142" i="62"/>
  <c r="F1142" i="62"/>
  <c r="P1141" i="62"/>
  <c r="O1141" i="62"/>
  <c r="N1141" i="62"/>
  <c r="M1141" i="62"/>
  <c r="J1141" i="62"/>
  <c r="G1141" i="62"/>
  <c r="F1141" i="62"/>
  <c r="P1140" i="62"/>
  <c r="O1140" i="62"/>
  <c r="N1140" i="62"/>
  <c r="M1140" i="62"/>
  <c r="J1140" i="62"/>
  <c r="G1140" i="62"/>
  <c r="F1140" i="62"/>
  <c r="P1139" i="62"/>
  <c r="O1139" i="62"/>
  <c r="N1139" i="62"/>
  <c r="M1139" i="62"/>
  <c r="J1139" i="62"/>
  <c r="G1139" i="62"/>
  <c r="F1139" i="62"/>
  <c r="P1138" i="62"/>
  <c r="O1138" i="62"/>
  <c r="N1138" i="62"/>
  <c r="M1138" i="62"/>
  <c r="J1138" i="62"/>
  <c r="G1138" i="62"/>
  <c r="F1138" i="62"/>
  <c r="P1137" i="62"/>
  <c r="O1137" i="62"/>
  <c r="N1137" i="62"/>
  <c r="M1137" i="62"/>
  <c r="J1137" i="62"/>
  <c r="G1137" i="62"/>
  <c r="F1137" i="62"/>
  <c r="P1136" i="62"/>
  <c r="O1136" i="62"/>
  <c r="N1136" i="62"/>
  <c r="M1136" i="62"/>
  <c r="J1136" i="62"/>
  <c r="G1136" i="62"/>
  <c r="F1136" i="62"/>
  <c r="P1135" i="62"/>
  <c r="O1135" i="62"/>
  <c r="N1135" i="62"/>
  <c r="M1135" i="62"/>
  <c r="J1135" i="62"/>
  <c r="G1135" i="62"/>
  <c r="F1135" i="62"/>
  <c r="P1134" i="62"/>
  <c r="O1134" i="62"/>
  <c r="N1134" i="62"/>
  <c r="M1134" i="62"/>
  <c r="J1134" i="62"/>
  <c r="G1134" i="62"/>
  <c r="F1134" i="62"/>
  <c r="P1133" i="62"/>
  <c r="O1133" i="62"/>
  <c r="N1133" i="62"/>
  <c r="M1133" i="62"/>
  <c r="J1133" i="62"/>
  <c r="G1133" i="62"/>
  <c r="F1133" i="62"/>
  <c r="P1132" i="62"/>
  <c r="O1132" i="62"/>
  <c r="N1132" i="62"/>
  <c r="M1132" i="62"/>
  <c r="J1132" i="62"/>
  <c r="G1132" i="62"/>
  <c r="F1132" i="62"/>
  <c r="P1131" i="62"/>
  <c r="O1131" i="62"/>
  <c r="N1131" i="62"/>
  <c r="M1131" i="62"/>
  <c r="J1131" i="62"/>
  <c r="G1131" i="62"/>
  <c r="F1131" i="62"/>
  <c r="P1130" i="62"/>
  <c r="O1130" i="62"/>
  <c r="N1130" i="62"/>
  <c r="M1130" i="62"/>
  <c r="J1130" i="62"/>
  <c r="G1130" i="62"/>
  <c r="F1130" i="62"/>
  <c r="P1129" i="62"/>
  <c r="O1129" i="62"/>
  <c r="N1129" i="62"/>
  <c r="M1129" i="62"/>
  <c r="J1129" i="62"/>
  <c r="G1129" i="62"/>
  <c r="F1129" i="62"/>
  <c r="P1128" i="62"/>
  <c r="O1128" i="62"/>
  <c r="N1128" i="62"/>
  <c r="M1128" i="62"/>
  <c r="J1128" i="62"/>
  <c r="G1128" i="62"/>
  <c r="F1128" i="62"/>
  <c r="P1127" i="62"/>
  <c r="O1127" i="62"/>
  <c r="N1127" i="62"/>
  <c r="M1127" i="62"/>
  <c r="J1127" i="62"/>
  <c r="G1127" i="62"/>
  <c r="F1127" i="62"/>
  <c r="P1126" i="62"/>
  <c r="O1126" i="62"/>
  <c r="N1126" i="62"/>
  <c r="M1126" i="62"/>
  <c r="J1126" i="62"/>
  <c r="G1126" i="62"/>
  <c r="F1126" i="62"/>
  <c r="P1125" i="62"/>
  <c r="O1125" i="62"/>
  <c r="N1125" i="62"/>
  <c r="M1125" i="62"/>
  <c r="J1125" i="62"/>
  <c r="G1125" i="62"/>
  <c r="F1125" i="62"/>
  <c r="P1124" i="62"/>
  <c r="O1124" i="62"/>
  <c r="N1124" i="62"/>
  <c r="M1124" i="62"/>
  <c r="J1124" i="62"/>
  <c r="G1124" i="62"/>
  <c r="F1124" i="62"/>
  <c r="P1123" i="62"/>
  <c r="O1123" i="62"/>
  <c r="N1123" i="62"/>
  <c r="M1123" i="62"/>
  <c r="J1123" i="62"/>
  <c r="G1123" i="62"/>
  <c r="F1123" i="62"/>
  <c r="P1122" i="62"/>
  <c r="O1122" i="62"/>
  <c r="N1122" i="62"/>
  <c r="M1122" i="62"/>
  <c r="J1122" i="62"/>
  <c r="G1122" i="62"/>
  <c r="F1122" i="62"/>
  <c r="P1121" i="62"/>
  <c r="O1121" i="62"/>
  <c r="N1121" i="62"/>
  <c r="M1121" i="62"/>
  <c r="J1121" i="62"/>
  <c r="G1121" i="62"/>
  <c r="F1121" i="62"/>
  <c r="P1120" i="62"/>
  <c r="O1120" i="62"/>
  <c r="N1120" i="62"/>
  <c r="M1120" i="62"/>
  <c r="J1120" i="62"/>
  <c r="G1120" i="62"/>
  <c r="F1120" i="62"/>
  <c r="P1119" i="62"/>
  <c r="O1119" i="62"/>
  <c r="N1119" i="62"/>
  <c r="M1119" i="62"/>
  <c r="J1119" i="62"/>
  <c r="G1119" i="62"/>
  <c r="F1119" i="62"/>
  <c r="P1118" i="62"/>
  <c r="O1118" i="62"/>
  <c r="N1118" i="62"/>
  <c r="M1118" i="62"/>
  <c r="J1118" i="62"/>
  <c r="G1118" i="62"/>
  <c r="F1118" i="62"/>
  <c r="P1117" i="62"/>
  <c r="O1117" i="62"/>
  <c r="N1117" i="62"/>
  <c r="M1117" i="62"/>
  <c r="J1117" i="62"/>
  <c r="G1117" i="62"/>
  <c r="F1117" i="62"/>
  <c r="P1116" i="62"/>
  <c r="O1116" i="62"/>
  <c r="N1116" i="62"/>
  <c r="M1116" i="62"/>
  <c r="J1116" i="62"/>
  <c r="G1116" i="62"/>
  <c r="F1116" i="62"/>
  <c r="P1115" i="62"/>
  <c r="O1115" i="62"/>
  <c r="N1115" i="62"/>
  <c r="M1115" i="62"/>
  <c r="J1115" i="62"/>
  <c r="G1115" i="62"/>
  <c r="F1115" i="62"/>
  <c r="P1114" i="62"/>
  <c r="O1114" i="62"/>
  <c r="N1114" i="62"/>
  <c r="M1114" i="62"/>
  <c r="J1114" i="62"/>
  <c r="G1114" i="62"/>
  <c r="F1114" i="62"/>
  <c r="P1113" i="62"/>
  <c r="O1113" i="62"/>
  <c r="N1113" i="62"/>
  <c r="M1113" i="62"/>
  <c r="J1113" i="62"/>
  <c r="G1113" i="62"/>
  <c r="F1113" i="62"/>
  <c r="P1112" i="62"/>
  <c r="O1112" i="62"/>
  <c r="N1112" i="62"/>
  <c r="M1112" i="62"/>
  <c r="J1112" i="62"/>
  <c r="G1112" i="62"/>
  <c r="F1112" i="62"/>
  <c r="P1111" i="62"/>
  <c r="O1111" i="62"/>
  <c r="N1111" i="62"/>
  <c r="M1111" i="62"/>
  <c r="J1111" i="62"/>
  <c r="G1111" i="62"/>
  <c r="F1111" i="62"/>
  <c r="P1110" i="62"/>
  <c r="O1110" i="62"/>
  <c r="N1110" i="62"/>
  <c r="M1110" i="62"/>
  <c r="J1110" i="62"/>
  <c r="G1110" i="62"/>
  <c r="F1110" i="62"/>
  <c r="P1109" i="62"/>
  <c r="O1109" i="62"/>
  <c r="N1109" i="62"/>
  <c r="M1109" i="62"/>
  <c r="J1109" i="62"/>
  <c r="G1109" i="62"/>
  <c r="F1109" i="62"/>
  <c r="P1108" i="62"/>
  <c r="O1108" i="62"/>
  <c r="N1108" i="62"/>
  <c r="M1108" i="62"/>
  <c r="J1108" i="62"/>
  <c r="G1108" i="62"/>
  <c r="F1108" i="62"/>
  <c r="P1107" i="62"/>
  <c r="O1107" i="62"/>
  <c r="N1107" i="62"/>
  <c r="M1107" i="62"/>
  <c r="J1107" i="62"/>
  <c r="G1107" i="62"/>
  <c r="F1107" i="62"/>
  <c r="P1106" i="62"/>
  <c r="O1106" i="62"/>
  <c r="N1106" i="62"/>
  <c r="M1106" i="62"/>
  <c r="J1106" i="62"/>
  <c r="G1106" i="62"/>
  <c r="F1106" i="62"/>
  <c r="P1105" i="62"/>
  <c r="O1105" i="62"/>
  <c r="N1105" i="62"/>
  <c r="M1105" i="62"/>
  <c r="J1105" i="62"/>
  <c r="G1105" i="62"/>
  <c r="F1105" i="62"/>
  <c r="P1104" i="62"/>
  <c r="O1104" i="62"/>
  <c r="N1104" i="62"/>
  <c r="M1104" i="62"/>
  <c r="J1104" i="62"/>
  <c r="G1104" i="62"/>
  <c r="F1104" i="62"/>
  <c r="P1103" i="62"/>
  <c r="O1103" i="62"/>
  <c r="N1103" i="62"/>
  <c r="M1103" i="62"/>
  <c r="J1103" i="62"/>
  <c r="G1103" i="62"/>
  <c r="F1103" i="62"/>
  <c r="P1102" i="62"/>
  <c r="O1102" i="62"/>
  <c r="N1102" i="62"/>
  <c r="M1102" i="62"/>
  <c r="J1102" i="62"/>
  <c r="G1102" i="62"/>
  <c r="F1102" i="62"/>
  <c r="P1101" i="62"/>
  <c r="O1101" i="62"/>
  <c r="N1101" i="62"/>
  <c r="M1101" i="62"/>
  <c r="J1101" i="62"/>
  <c r="G1101" i="62"/>
  <c r="F1101" i="62"/>
  <c r="P1100" i="62"/>
  <c r="O1100" i="62"/>
  <c r="N1100" i="62"/>
  <c r="M1100" i="62"/>
  <c r="J1100" i="62"/>
  <c r="G1100" i="62"/>
  <c r="F1100" i="62"/>
  <c r="P1099" i="62"/>
  <c r="O1099" i="62"/>
  <c r="N1099" i="62"/>
  <c r="M1099" i="62"/>
  <c r="J1099" i="62"/>
  <c r="G1099" i="62"/>
  <c r="F1099" i="62"/>
  <c r="P1098" i="62"/>
  <c r="O1098" i="62"/>
  <c r="N1098" i="62"/>
  <c r="M1098" i="62"/>
  <c r="J1098" i="62"/>
  <c r="G1098" i="62"/>
  <c r="F1098" i="62"/>
  <c r="P1097" i="62"/>
  <c r="O1097" i="62"/>
  <c r="N1097" i="62"/>
  <c r="M1097" i="62"/>
  <c r="J1097" i="62"/>
  <c r="G1097" i="62"/>
  <c r="F1097" i="62"/>
  <c r="P1096" i="62"/>
  <c r="O1096" i="62"/>
  <c r="N1096" i="62"/>
  <c r="M1096" i="62"/>
  <c r="J1096" i="62"/>
  <c r="G1096" i="62"/>
  <c r="F1096" i="62"/>
  <c r="P1095" i="62"/>
  <c r="O1095" i="62"/>
  <c r="N1095" i="62"/>
  <c r="M1095" i="62"/>
  <c r="J1095" i="62"/>
  <c r="G1095" i="62"/>
  <c r="F1095" i="62"/>
  <c r="P1094" i="62"/>
  <c r="O1094" i="62"/>
  <c r="N1094" i="62"/>
  <c r="M1094" i="62"/>
  <c r="J1094" i="62"/>
  <c r="G1094" i="62"/>
  <c r="F1094" i="62"/>
  <c r="P1093" i="62"/>
  <c r="O1093" i="62"/>
  <c r="N1093" i="62"/>
  <c r="M1093" i="62"/>
  <c r="J1093" i="62"/>
  <c r="G1093" i="62"/>
  <c r="F1093" i="62"/>
  <c r="P1092" i="62"/>
  <c r="O1092" i="62"/>
  <c r="N1092" i="62"/>
  <c r="M1092" i="62"/>
  <c r="J1092" i="62"/>
  <c r="G1092" i="62"/>
  <c r="F1092" i="62"/>
  <c r="P1091" i="62"/>
  <c r="O1091" i="62"/>
  <c r="N1091" i="62"/>
  <c r="M1091" i="62"/>
  <c r="J1091" i="62"/>
  <c r="G1091" i="62"/>
  <c r="F1091" i="62"/>
  <c r="P1090" i="62"/>
  <c r="O1090" i="62"/>
  <c r="N1090" i="62"/>
  <c r="M1090" i="62"/>
  <c r="J1090" i="62"/>
  <c r="G1090" i="62"/>
  <c r="F1090" i="62"/>
  <c r="P1089" i="62"/>
  <c r="O1089" i="62"/>
  <c r="N1089" i="62"/>
  <c r="M1089" i="62"/>
  <c r="J1089" i="62"/>
  <c r="G1089" i="62"/>
  <c r="F1089" i="62"/>
  <c r="P1088" i="62"/>
  <c r="O1088" i="62"/>
  <c r="N1088" i="62"/>
  <c r="M1088" i="62"/>
  <c r="J1088" i="62"/>
  <c r="G1088" i="62"/>
  <c r="F1088" i="62"/>
  <c r="P1087" i="62"/>
  <c r="O1087" i="62"/>
  <c r="N1087" i="62"/>
  <c r="M1087" i="62"/>
  <c r="J1087" i="62"/>
  <c r="G1087" i="62"/>
  <c r="F1087" i="62"/>
  <c r="P1086" i="62"/>
  <c r="O1086" i="62"/>
  <c r="N1086" i="62"/>
  <c r="M1086" i="62"/>
  <c r="J1086" i="62"/>
  <c r="G1086" i="62"/>
  <c r="F1086" i="62"/>
  <c r="P1085" i="62"/>
  <c r="O1085" i="62"/>
  <c r="N1085" i="62"/>
  <c r="M1085" i="62"/>
  <c r="J1085" i="62"/>
  <c r="G1085" i="62"/>
  <c r="F1085" i="62"/>
  <c r="P1084" i="62"/>
  <c r="O1084" i="62"/>
  <c r="N1084" i="62"/>
  <c r="M1084" i="62"/>
  <c r="J1084" i="62"/>
  <c r="G1084" i="62"/>
  <c r="F1084" i="62"/>
  <c r="P1083" i="62"/>
  <c r="O1083" i="62"/>
  <c r="N1083" i="62"/>
  <c r="M1083" i="62"/>
  <c r="J1083" i="62"/>
  <c r="G1083" i="62"/>
  <c r="F1083" i="62"/>
  <c r="P1082" i="62"/>
  <c r="O1082" i="62"/>
  <c r="N1082" i="62"/>
  <c r="M1082" i="62"/>
  <c r="J1082" i="62"/>
  <c r="G1082" i="62"/>
  <c r="F1082" i="62"/>
  <c r="P1081" i="62"/>
  <c r="O1081" i="62"/>
  <c r="N1081" i="62"/>
  <c r="M1081" i="62"/>
  <c r="J1081" i="62"/>
  <c r="G1081" i="62"/>
  <c r="F1081" i="62"/>
  <c r="P1080" i="62"/>
  <c r="O1080" i="62"/>
  <c r="N1080" i="62"/>
  <c r="M1080" i="62"/>
  <c r="J1080" i="62"/>
  <c r="G1080" i="62"/>
  <c r="F1080" i="62"/>
  <c r="P1079" i="62"/>
  <c r="O1079" i="62"/>
  <c r="N1079" i="62"/>
  <c r="M1079" i="62"/>
  <c r="J1079" i="62"/>
  <c r="G1079" i="62"/>
  <c r="F1079" i="62"/>
  <c r="P1078" i="62"/>
  <c r="O1078" i="62"/>
  <c r="N1078" i="62"/>
  <c r="M1078" i="62"/>
  <c r="J1078" i="62"/>
  <c r="G1078" i="62"/>
  <c r="F1078" i="62"/>
  <c r="P1077" i="62"/>
  <c r="O1077" i="62"/>
  <c r="N1077" i="62"/>
  <c r="M1077" i="62"/>
  <c r="J1077" i="62"/>
  <c r="G1077" i="62"/>
  <c r="F1077" i="62"/>
  <c r="P1076" i="62"/>
  <c r="O1076" i="62"/>
  <c r="N1076" i="62"/>
  <c r="M1076" i="62"/>
  <c r="J1076" i="62"/>
  <c r="G1076" i="62"/>
  <c r="F1076" i="62"/>
  <c r="P1075" i="62"/>
  <c r="O1075" i="62"/>
  <c r="N1075" i="62"/>
  <c r="M1075" i="62"/>
  <c r="J1075" i="62"/>
  <c r="G1075" i="62"/>
  <c r="F1075" i="62"/>
  <c r="P1074" i="62"/>
  <c r="O1074" i="62"/>
  <c r="N1074" i="62"/>
  <c r="M1074" i="62"/>
  <c r="J1074" i="62"/>
  <c r="G1074" i="62"/>
  <c r="F1074" i="62"/>
  <c r="P1073" i="62"/>
  <c r="O1073" i="62"/>
  <c r="N1073" i="62"/>
  <c r="M1073" i="62"/>
  <c r="J1073" i="62"/>
  <c r="G1073" i="62"/>
  <c r="F1073" i="62"/>
  <c r="P1072" i="62"/>
  <c r="O1072" i="62"/>
  <c r="N1072" i="62"/>
  <c r="M1072" i="62"/>
  <c r="J1072" i="62"/>
  <c r="G1072" i="62"/>
  <c r="F1072" i="62"/>
  <c r="P1071" i="62"/>
  <c r="O1071" i="62"/>
  <c r="N1071" i="62"/>
  <c r="M1071" i="62"/>
  <c r="J1071" i="62"/>
  <c r="G1071" i="62"/>
  <c r="F1071" i="62"/>
  <c r="P1070" i="62"/>
  <c r="O1070" i="62"/>
  <c r="N1070" i="62"/>
  <c r="M1070" i="62"/>
  <c r="J1070" i="62"/>
  <c r="G1070" i="62"/>
  <c r="F1070" i="62"/>
  <c r="P1069" i="62"/>
  <c r="O1069" i="62"/>
  <c r="N1069" i="62"/>
  <c r="M1069" i="62"/>
  <c r="J1069" i="62"/>
  <c r="G1069" i="62"/>
  <c r="F1069" i="62"/>
  <c r="P1068" i="62"/>
  <c r="O1068" i="62"/>
  <c r="N1068" i="62"/>
  <c r="M1068" i="62"/>
  <c r="J1068" i="62"/>
  <c r="G1068" i="62"/>
  <c r="F1068" i="62"/>
  <c r="P1067" i="62"/>
  <c r="O1067" i="62"/>
  <c r="N1067" i="62"/>
  <c r="M1067" i="62"/>
  <c r="J1067" i="62"/>
  <c r="G1067" i="62"/>
  <c r="F1067" i="62"/>
  <c r="P1066" i="62"/>
  <c r="O1066" i="62"/>
  <c r="N1066" i="62"/>
  <c r="M1066" i="62"/>
  <c r="J1066" i="62"/>
  <c r="G1066" i="62"/>
  <c r="F1066" i="62"/>
  <c r="P1065" i="62"/>
  <c r="O1065" i="62"/>
  <c r="N1065" i="62"/>
  <c r="M1065" i="62"/>
  <c r="J1065" i="62"/>
  <c r="G1065" i="62"/>
  <c r="F1065" i="62"/>
  <c r="P1064" i="62"/>
  <c r="O1064" i="62"/>
  <c r="N1064" i="62"/>
  <c r="M1064" i="62"/>
  <c r="J1064" i="62"/>
  <c r="G1064" i="62"/>
  <c r="F1064" i="62"/>
  <c r="P1063" i="62"/>
  <c r="O1063" i="62"/>
  <c r="N1063" i="62"/>
  <c r="M1063" i="62"/>
  <c r="J1063" i="62"/>
  <c r="G1063" i="62"/>
  <c r="F1063" i="62"/>
  <c r="P1062" i="62"/>
  <c r="O1062" i="62"/>
  <c r="N1062" i="62"/>
  <c r="M1062" i="62"/>
  <c r="J1062" i="62"/>
  <c r="G1062" i="62"/>
  <c r="F1062" i="62"/>
  <c r="P1061" i="62"/>
  <c r="O1061" i="62"/>
  <c r="N1061" i="62"/>
  <c r="M1061" i="62"/>
  <c r="J1061" i="62"/>
  <c r="G1061" i="62"/>
  <c r="F1061" i="62"/>
  <c r="P1060" i="62"/>
  <c r="O1060" i="62"/>
  <c r="N1060" i="62"/>
  <c r="M1060" i="62"/>
  <c r="J1060" i="62"/>
  <c r="G1060" i="62"/>
  <c r="F1060" i="62"/>
  <c r="P1059" i="62"/>
  <c r="O1059" i="62"/>
  <c r="N1059" i="62"/>
  <c r="M1059" i="62"/>
  <c r="J1059" i="62"/>
  <c r="G1059" i="62"/>
  <c r="F1059" i="62"/>
  <c r="P1058" i="62"/>
  <c r="O1058" i="62"/>
  <c r="N1058" i="62"/>
  <c r="M1058" i="62"/>
  <c r="J1058" i="62"/>
  <c r="G1058" i="62"/>
  <c r="F1058" i="62"/>
  <c r="P1057" i="62"/>
  <c r="O1057" i="62"/>
  <c r="N1057" i="62"/>
  <c r="M1057" i="62"/>
  <c r="J1057" i="62"/>
  <c r="G1057" i="62"/>
  <c r="F1057" i="62"/>
  <c r="P1056" i="62"/>
  <c r="O1056" i="62"/>
  <c r="N1056" i="62"/>
  <c r="M1056" i="62"/>
  <c r="J1056" i="62"/>
  <c r="G1056" i="62"/>
  <c r="F1056" i="62"/>
  <c r="P1055" i="62"/>
  <c r="O1055" i="62"/>
  <c r="N1055" i="62"/>
  <c r="M1055" i="62"/>
  <c r="J1055" i="62"/>
  <c r="G1055" i="62"/>
  <c r="F1055" i="62"/>
  <c r="P1054" i="62"/>
  <c r="O1054" i="62"/>
  <c r="N1054" i="62"/>
  <c r="M1054" i="62"/>
  <c r="J1054" i="62"/>
  <c r="G1054" i="62"/>
  <c r="F1054" i="62"/>
  <c r="P1053" i="62"/>
  <c r="O1053" i="62"/>
  <c r="N1053" i="62"/>
  <c r="M1053" i="62"/>
  <c r="J1053" i="62"/>
  <c r="G1053" i="62"/>
  <c r="F1053" i="62"/>
  <c r="P1052" i="62"/>
  <c r="O1052" i="62"/>
  <c r="N1052" i="62"/>
  <c r="M1052" i="62"/>
  <c r="J1052" i="62"/>
  <c r="G1052" i="62"/>
  <c r="F1052" i="62"/>
  <c r="P1051" i="62"/>
  <c r="O1051" i="62"/>
  <c r="N1051" i="62"/>
  <c r="M1051" i="62"/>
  <c r="J1051" i="62"/>
  <c r="G1051" i="62"/>
  <c r="F1051" i="62"/>
  <c r="P1050" i="62"/>
  <c r="O1050" i="62"/>
  <c r="N1050" i="62"/>
  <c r="M1050" i="62"/>
  <c r="J1050" i="62"/>
  <c r="G1050" i="62"/>
  <c r="F1050" i="62"/>
  <c r="P1049" i="62"/>
  <c r="O1049" i="62"/>
  <c r="N1049" i="62"/>
  <c r="M1049" i="62"/>
  <c r="J1049" i="62"/>
  <c r="G1049" i="62"/>
  <c r="F1049" i="62"/>
  <c r="P1048" i="62"/>
  <c r="O1048" i="62"/>
  <c r="N1048" i="62"/>
  <c r="M1048" i="62"/>
  <c r="J1048" i="62"/>
  <c r="G1048" i="62"/>
  <c r="F1048" i="62"/>
  <c r="P1047" i="62"/>
  <c r="O1047" i="62"/>
  <c r="N1047" i="62"/>
  <c r="M1047" i="62"/>
  <c r="J1047" i="62"/>
  <c r="G1047" i="62"/>
  <c r="F1047" i="62"/>
  <c r="P1046" i="62"/>
  <c r="O1046" i="62"/>
  <c r="N1046" i="62"/>
  <c r="M1046" i="62"/>
  <c r="J1046" i="62"/>
  <c r="G1046" i="62"/>
  <c r="F1046" i="62"/>
  <c r="P1045" i="62"/>
  <c r="O1045" i="62"/>
  <c r="N1045" i="62"/>
  <c r="M1045" i="62"/>
  <c r="J1045" i="62"/>
  <c r="G1045" i="62"/>
  <c r="F1045" i="62"/>
  <c r="P1044" i="62"/>
  <c r="O1044" i="62"/>
  <c r="N1044" i="62"/>
  <c r="M1044" i="62"/>
  <c r="J1044" i="62"/>
  <c r="G1044" i="62"/>
  <c r="F1044" i="62"/>
  <c r="P1043" i="62"/>
  <c r="O1043" i="62"/>
  <c r="N1043" i="62"/>
  <c r="M1043" i="62"/>
  <c r="J1043" i="62"/>
  <c r="G1043" i="62"/>
  <c r="F1043" i="62"/>
  <c r="P1042" i="62"/>
  <c r="O1042" i="62"/>
  <c r="N1042" i="62"/>
  <c r="M1042" i="62"/>
  <c r="J1042" i="62"/>
  <c r="G1042" i="62"/>
  <c r="F1042" i="62"/>
  <c r="P1041" i="62"/>
  <c r="O1041" i="62"/>
  <c r="N1041" i="62"/>
  <c r="M1041" i="62"/>
  <c r="J1041" i="62"/>
  <c r="G1041" i="62"/>
  <c r="F1041" i="62"/>
  <c r="P1040" i="62"/>
  <c r="O1040" i="62"/>
  <c r="N1040" i="62"/>
  <c r="M1040" i="62"/>
  <c r="J1040" i="62"/>
  <c r="G1040" i="62"/>
  <c r="F1040" i="62"/>
  <c r="P1039" i="62"/>
  <c r="O1039" i="62"/>
  <c r="N1039" i="62"/>
  <c r="M1039" i="62"/>
  <c r="J1039" i="62"/>
  <c r="G1039" i="62"/>
  <c r="F1039" i="62"/>
  <c r="P1038" i="62"/>
  <c r="O1038" i="62"/>
  <c r="N1038" i="62"/>
  <c r="M1038" i="62"/>
  <c r="J1038" i="62"/>
  <c r="G1038" i="62"/>
  <c r="F1038" i="62"/>
  <c r="P1037" i="62"/>
  <c r="O1037" i="62"/>
  <c r="N1037" i="62"/>
  <c r="M1037" i="62"/>
  <c r="J1037" i="62"/>
  <c r="G1037" i="62"/>
  <c r="F1037" i="62"/>
  <c r="P1036" i="62"/>
  <c r="O1036" i="62"/>
  <c r="N1036" i="62"/>
  <c r="M1036" i="62"/>
  <c r="J1036" i="62"/>
  <c r="G1036" i="62"/>
  <c r="F1036" i="62"/>
  <c r="P1035" i="62"/>
  <c r="O1035" i="62"/>
  <c r="N1035" i="62"/>
  <c r="M1035" i="62"/>
  <c r="J1035" i="62"/>
  <c r="G1035" i="62"/>
  <c r="F1035" i="62"/>
  <c r="P1034" i="62"/>
  <c r="O1034" i="62"/>
  <c r="N1034" i="62"/>
  <c r="M1034" i="62"/>
  <c r="J1034" i="62"/>
  <c r="G1034" i="62"/>
  <c r="F1034" i="62"/>
  <c r="P1033" i="62"/>
  <c r="O1033" i="62"/>
  <c r="N1033" i="62"/>
  <c r="M1033" i="62"/>
  <c r="J1033" i="62"/>
  <c r="G1033" i="62"/>
  <c r="F1033" i="62"/>
  <c r="P1032" i="62"/>
  <c r="O1032" i="62"/>
  <c r="N1032" i="62"/>
  <c r="M1032" i="62"/>
  <c r="J1032" i="62"/>
  <c r="G1032" i="62"/>
  <c r="F1032" i="62"/>
  <c r="P1031" i="62"/>
  <c r="O1031" i="62"/>
  <c r="N1031" i="62"/>
  <c r="M1031" i="62"/>
  <c r="J1031" i="62"/>
  <c r="G1031" i="62"/>
  <c r="F1031" i="62"/>
  <c r="P1030" i="62"/>
  <c r="O1030" i="62"/>
  <c r="N1030" i="62"/>
  <c r="M1030" i="62"/>
  <c r="J1030" i="62"/>
  <c r="G1030" i="62"/>
  <c r="F1030" i="62"/>
  <c r="P1029" i="62"/>
  <c r="O1029" i="62"/>
  <c r="N1029" i="62"/>
  <c r="M1029" i="62"/>
  <c r="J1029" i="62"/>
  <c r="G1029" i="62"/>
  <c r="F1029" i="62"/>
  <c r="P1028" i="62"/>
  <c r="O1028" i="62"/>
  <c r="N1028" i="62"/>
  <c r="M1028" i="62"/>
  <c r="J1028" i="62"/>
  <c r="G1028" i="62"/>
  <c r="F1028" i="62"/>
  <c r="P1027" i="62"/>
  <c r="O1027" i="62"/>
  <c r="N1027" i="62"/>
  <c r="M1027" i="62"/>
  <c r="J1027" i="62"/>
  <c r="G1027" i="62"/>
  <c r="F1027" i="62"/>
  <c r="P1026" i="62"/>
  <c r="O1026" i="62"/>
  <c r="N1026" i="62"/>
  <c r="M1026" i="62"/>
  <c r="J1026" i="62"/>
  <c r="G1026" i="62"/>
  <c r="F1026" i="62"/>
  <c r="P1025" i="62"/>
  <c r="O1025" i="62"/>
  <c r="N1025" i="62"/>
  <c r="M1025" i="62"/>
  <c r="J1025" i="62"/>
  <c r="G1025" i="62"/>
  <c r="F1025" i="62"/>
  <c r="P1024" i="62"/>
  <c r="O1024" i="62"/>
  <c r="N1024" i="62"/>
  <c r="M1024" i="62"/>
  <c r="J1024" i="62"/>
  <c r="G1024" i="62"/>
  <c r="F1024" i="62"/>
  <c r="P1023" i="62"/>
  <c r="O1023" i="62"/>
  <c r="N1023" i="62"/>
  <c r="M1023" i="62"/>
  <c r="J1023" i="62"/>
  <c r="G1023" i="62"/>
  <c r="F1023" i="62"/>
  <c r="P1022" i="62"/>
  <c r="O1022" i="62"/>
  <c r="N1022" i="62"/>
  <c r="M1022" i="62"/>
  <c r="J1022" i="62"/>
  <c r="G1022" i="62"/>
  <c r="F1022" i="62"/>
  <c r="P1021" i="62"/>
  <c r="O1021" i="62"/>
  <c r="N1021" i="62"/>
  <c r="M1021" i="62"/>
  <c r="J1021" i="62"/>
  <c r="G1021" i="62"/>
  <c r="F1021" i="62"/>
  <c r="P1020" i="62"/>
  <c r="O1020" i="62"/>
  <c r="N1020" i="62"/>
  <c r="M1020" i="62"/>
  <c r="J1020" i="62"/>
  <c r="G1020" i="62"/>
  <c r="F1020" i="62"/>
  <c r="P1019" i="62"/>
  <c r="O1019" i="62"/>
  <c r="N1019" i="62"/>
  <c r="M1019" i="62"/>
  <c r="J1019" i="62"/>
  <c r="G1019" i="62"/>
  <c r="F1019" i="62"/>
  <c r="P1018" i="62"/>
  <c r="O1018" i="62"/>
  <c r="N1018" i="62"/>
  <c r="M1018" i="62"/>
  <c r="J1018" i="62"/>
  <c r="G1018" i="62"/>
  <c r="F1018" i="62"/>
  <c r="P1017" i="62"/>
  <c r="O1017" i="62"/>
  <c r="N1017" i="62"/>
  <c r="M1017" i="62"/>
  <c r="J1017" i="62"/>
  <c r="G1017" i="62"/>
  <c r="F1017" i="62"/>
  <c r="P1016" i="62"/>
  <c r="O1016" i="62"/>
  <c r="N1016" i="62"/>
  <c r="M1016" i="62"/>
  <c r="J1016" i="62"/>
  <c r="G1016" i="62"/>
  <c r="F1016" i="62"/>
  <c r="P1015" i="62"/>
  <c r="O1015" i="62"/>
  <c r="N1015" i="62"/>
  <c r="M1015" i="62"/>
  <c r="J1015" i="62"/>
  <c r="G1015" i="62"/>
  <c r="F1015" i="62"/>
  <c r="P1014" i="62"/>
  <c r="O1014" i="62"/>
  <c r="N1014" i="62"/>
  <c r="M1014" i="62"/>
  <c r="J1014" i="62"/>
  <c r="G1014" i="62"/>
  <c r="F1014" i="62"/>
  <c r="P1013" i="62"/>
  <c r="O1013" i="62"/>
  <c r="N1013" i="62"/>
  <c r="M1013" i="62"/>
  <c r="J1013" i="62"/>
  <c r="G1013" i="62"/>
  <c r="F1013" i="62"/>
  <c r="P1012" i="62"/>
  <c r="O1012" i="62"/>
  <c r="N1012" i="62"/>
  <c r="M1012" i="62"/>
  <c r="J1012" i="62"/>
  <c r="G1012" i="62"/>
  <c r="F1012" i="62"/>
  <c r="P1011" i="62"/>
  <c r="O1011" i="62"/>
  <c r="N1011" i="62"/>
  <c r="M1011" i="62"/>
  <c r="J1011" i="62"/>
  <c r="G1011" i="62"/>
  <c r="F1011" i="62"/>
  <c r="P1010" i="62"/>
  <c r="O1010" i="62"/>
  <c r="N1010" i="62"/>
  <c r="M1010" i="62"/>
  <c r="J1010" i="62"/>
  <c r="G1010" i="62"/>
  <c r="F1010" i="62"/>
  <c r="P1009" i="62"/>
  <c r="O1009" i="62"/>
  <c r="N1009" i="62"/>
  <c r="M1009" i="62"/>
  <c r="J1009" i="62"/>
  <c r="G1009" i="62"/>
  <c r="F1009" i="62"/>
  <c r="P1008" i="62"/>
  <c r="O1008" i="62"/>
  <c r="N1008" i="62"/>
  <c r="M1008" i="62"/>
  <c r="J1008" i="62"/>
  <c r="G1008" i="62"/>
  <c r="F1008" i="62"/>
  <c r="P1007" i="62"/>
  <c r="O1007" i="62"/>
  <c r="N1007" i="62"/>
  <c r="M1007" i="62"/>
  <c r="J1007" i="62"/>
  <c r="G1007" i="62"/>
  <c r="F1007" i="62"/>
  <c r="P1006" i="62"/>
  <c r="O1006" i="62"/>
  <c r="N1006" i="62"/>
  <c r="M1006" i="62"/>
  <c r="J1006" i="62"/>
  <c r="G1006" i="62"/>
  <c r="F1006" i="62"/>
  <c r="P1005" i="62"/>
  <c r="O1005" i="62"/>
  <c r="N1005" i="62"/>
  <c r="M1005" i="62"/>
  <c r="J1005" i="62"/>
  <c r="G1005" i="62"/>
  <c r="F1005" i="62"/>
  <c r="P1004" i="62"/>
  <c r="O1004" i="62"/>
  <c r="N1004" i="62"/>
  <c r="M1004" i="62"/>
  <c r="J1004" i="62"/>
  <c r="G1004" i="62"/>
  <c r="F1004" i="62"/>
  <c r="P1003" i="62"/>
  <c r="O1003" i="62"/>
  <c r="N1003" i="62"/>
  <c r="M1003" i="62"/>
  <c r="J1003" i="62"/>
  <c r="G1003" i="62"/>
  <c r="F1003" i="62"/>
  <c r="P1002" i="62"/>
  <c r="O1002" i="62"/>
  <c r="N1002" i="62"/>
  <c r="M1002" i="62"/>
  <c r="J1002" i="62"/>
  <c r="G1002" i="62"/>
  <c r="F1002" i="62"/>
  <c r="P1001" i="62"/>
  <c r="O1001" i="62"/>
  <c r="N1001" i="62"/>
  <c r="M1001" i="62"/>
  <c r="J1001" i="62"/>
  <c r="G1001" i="62"/>
  <c r="F1001" i="62"/>
  <c r="P1000" i="62"/>
  <c r="O1000" i="62"/>
  <c r="N1000" i="62"/>
  <c r="M1000" i="62"/>
  <c r="J1000" i="62"/>
  <c r="G1000" i="62"/>
  <c r="F1000" i="62"/>
  <c r="P999" i="62"/>
  <c r="O999" i="62"/>
  <c r="N999" i="62"/>
  <c r="M999" i="62"/>
  <c r="J999" i="62"/>
  <c r="G999" i="62"/>
  <c r="F999" i="62"/>
  <c r="P998" i="62"/>
  <c r="O998" i="62"/>
  <c r="N998" i="62"/>
  <c r="M998" i="62"/>
  <c r="J998" i="62"/>
  <c r="G998" i="62"/>
  <c r="F998" i="62"/>
  <c r="P997" i="62"/>
  <c r="O997" i="62"/>
  <c r="N997" i="62"/>
  <c r="M997" i="62"/>
  <c r="J997" i="62"/>
  <c r="G997" i="62"/>
  <c r="F997" i="62"/>
  <c r="P996" i="62"/>
  <c r="O996" i="62"/>
  <c r="N996" i="62"/>
  <c r="M996" i="62"/>
  <c r="J996" i="62"/>
  <c r="G996" i="62"/>
  <c r="F996" i="62"/>
  <c r="P995" i="62"/>
  <c r="O995" i="62"/>
  <c r="N995" i="62"/>
  <c r="M995" i="62"/>
  <c r="J995" i="62"/>
  <c r="G995" i="62"/>
  <c r="F995" i="62"/>
  <c r="P994" i="62"/>
  <c r="O994" i="62"/>
  <c r="N994" i="62"/>
  <c r="M994" i="62"/>
  <c r="J994" i="62"/>
  <c r="G994" i="62"/>
  <c r="F994" i="62"/>
  <c r="P993" i="62"/>
  <c r="O993" i="62"/>
  <c r="N993" i="62"/>
  <c r="M993" i="62"/>
  <c r="J993" i="62"/>
  <c r="G993" i="62"/>
  <c r="F993" i="62"/>
  <c r="P992" i="62"/>
  <c r="O992" i="62"/>
  <c r="N992" i="62"/>
  <c r="M992" i="62"/>
  <c r="J992" i="62"/>
  <c r="G992" i="62"/>
  <c r="F992" i="62"/>
  <c r="P991" i="62"/>
  <c r="O991" i="62"/>
  <c r="N991" i="62"/>
  <c r="M991" i="62"/>
  <c r="J991" i="62"/>
  <c r="G991" i="62"/>
  <c r="F991" i="62"/>
  <c r="P990" i="62"/>
  <c r="O990" i="62"/>
  <c r="N990" i="62"/>
  <c r="M990" i="62"/>
  <c r="J990" i="62"/>
  <c r="G990" i="62"/>
  <c r="F990" i="62"/>
  <c r="P989" i="62"/>
  <c r="O989" i="62"/>
  <c r="N989" i="62"/>
  <c r="M989" i="62"/>
  <c r="J989" i="62"/>
  <c r="G989" i="62"/>
  <c r="F989" i="62"/>
  <c r="P988" i="62"/>
  <c r="O988" i="62"/>
  <c r="N988" i="62"/>
  <c r="M988" i="62"/>
  <c r="J988" i="62"/>
  <c r="G988" i="62"/>
  <c r="F988" i="62"/>
  <c r="P987" i="62"/>
  <c r="O987" i="62"/>
  <c r="N987" i="62"/>
  <c r="M987" i="62"/>
  <c r="J987" i="62"/>
  <c r="G987" i="62"/>
  <c r="F987" i="62"/>
  <c r="P986" i="62"/>
  <c r="O986" i="62"/>
  <c r="N986" i="62"/>
  <c r="M986" i="62"/>
  <c r="J986" i="62"/>
  <c r="G986" i="62"/>
  <c r="F986" i="62"/>
  <c r="P985" i="62"/>
  <c r="O985" i="62"/>
  <c r="N985" i="62"/>
  <c r="M985" i="62"/>
  <c r="J985" i="62"/>
  <c r="G985" i="62"/>
  <c r="F985" i="62"/>
  <c r="P984" i="62"/>
  <c r="O984" i="62"/>
  <c r="N984" i="62"/>
  <c r="M984" i="62"/>
  <c r="J984" i="62"/>
  <c r="G984" i="62"/>
  <c r="F984" i="62"/>
  <c r="P983" i="62"/>
  <c r="O983" i="62"/>
  <c r="N983" i="62"/>
  <c r="M983" i="62"/>
  <c r="J983" i="62"/>
  <c r="G983" i="62"/>
  <c r="F983" i="62"/>
  <c r="P982" i="62"/>
  <c r="O982" i="62"/>
  <c r="N982" i="62"/>
  <c r="M982" i="62"/>
  <c r="J982" i="62"/>
  <c r="G982" i="62"/>
  <c r="F982" i="62"/>
  <c r="P981" i="62"/>
  <c r="O981" i="62"/>
  <c r="N981" i="62"/>
  <c r="M981" i="62"/>
  <c r="J981" i="62"/>
  <c r="G981" i="62"/>
  <c r="F981" i="62"/>
  <c r="P980" i="62"/>
  <c r="O980" i="62"/>
  <c r="N980" i="62"/>
  <c r="M980" i="62"/>
  <c r="J980" i="62"/>
  <c r="G980" i="62"/>
  <c r="F980" i="62"/>
  <c r="P979" i="62"/>
  <c r="O979" i="62"/>
  <c r="N979" i="62"/>
  <c r="M979" i="62"/>
  <c r="J979" i="62"/>
  <c r="G979" i="62"/>
  <c r="F979" i="62"/>
  <c r="P978" i="62"/>
  <c r="O978" i="62"/>
  <c r="N978" i="62"/>
  <c r="M978" i="62"/>
  <c r="J978" i="62"/>
  <c r="G978" i="62"/>
  <c r="F978" i="62"/>
  <c r="P977" i="62"/>
  <c r="O977" i="62"/>
  <c r="N977" i="62"/>
  <c r="M977" i="62"/>
  <c r="J977" i="62"/>
  <c r="G977" i="62"/>
  <c r="F977" i="62"/>
  <c r="P976" i="62"/>
  <c r="O976" i="62"/>
  <c r="N976" i="62"/>
  <c r="M976" i="62"/>
  <c r="J976" i="62"/>
  <c r="G976" i="62"/>
  <c r="F976" i="62"/>
  <c r="P975" i="62"/>
  <c r="O975" i="62"/>
  <c r="N975" i="62"/>
  <c r="M975" i="62"/>
  <c r="J975" i="62"/>
  <c r="G975" i="62"/>
  <c r="F975" i="62"/>
  <c r="P974" i="62"/>
  <c r="O974" i="62"/>
  <c r="N974" i="62"/>
  <c r="M974" i="62"/>
  <c r="J974" i="62"/>
  <c r="G974" i="62"/>
  <c r="F974" i="62"/>
  <c r="P973" i="62"/>
  <c r="O973" i="62"/>
  <c r="N973" i="62"/>
  <c r="M973" i="62"/>
  <c r="J973" i="62"/>
  <c r="G973" i="62"/>
  <c r="F973" i="62"/>
  <c r="P972" i="62"/>
  <c r="O972" i="62"/>
  <c r="N972" i="62"/>
  <c r="M972" i="62"/>
  <c r="J972" i="62"/>
  <c r="G972" i="62"/>
  <c r="F972" i="62"/>
  <c r="P971" i="62"/>
  <c r="O971" i="62"/>
  <c r="N971" i="62"/>
  <c r="M971" i="62"/>
  <c r="J971" i="62"/>
  <c r="G971" i="62"/>
  <c r="F971" i="62"/>
  <c r="P970" i="62"/>
  <c r="O970" i="62"/>
  <c r="N970" i="62"/>
  <c r="M970" i="62"/>
  <c r="J970" i="62"/>
  <c r="G970" i="62"/>
  <c r="F970" i="62"/>
  <c r="P969" i="62"/>
  <c r="O969" i="62"/>
  <c r="N969" i="62"/>
  <c r="M969" i="62"/>
  <c r="J969" i="62"/>
  <c r="G969" i="62"/>
  <c r="F969" i="62"/>
  <c r="P968" i="62"/>
  <c r="O968" i="62"/>
  <c r="N968" i="62"/>
  <c r="M968" i="62"/>
  <c r="J968" i="62"/>
  <c r="G968" i="62"/>
  <c r="F968" i="62"/>
  <c r="P967" i="62"/>
  <c r="O967" i="62"/>
  <c r="N967" i="62"/>
  <c r="M967" i="62"/>
  <c r="J967" i="62"/>
  <c r="G967" i="62"/>
  <c r="F967" i="62"/>
  <c r="P966" i="62"/>
  <c r="O966" i="62"/>
  <c r="N966" i="62"/>
  <c r="M966" i="62"/>
  <c r="J966" i="62"/>
  <c r="G966" i="62"/>
  <c r="F966" i="62"/>
  <c r="P965" i="62"/>
  <c r="O965" i="62"/>
  <c r="N965" i="62"/>
  <c r="M965" i="62"/>
  <c r="J965" i="62"/>
  <c r="G965" i="62"/>
  <c r="F965" i="62"/>
  <c r="P964" i="62"/>
  <c r="O964" i="62"/>
  <c r="N964" i="62"/>
  <c r="M964" i="62"/>
  <c r="J964" i="62"/>
  <c r="G964" i="62"/>
  <c r="F964" i="62"/>
  <c r="P963" i="62"/>
  <c r="O963" i="62"/>
  <c r="N963" i="62"/>
  <c r="M963" i="62"/>
  <c r="J963" i="62"/>
  <c r="G963" i="62"/>
  <c r="F963" i="62"/>
  <c r="P962" i="62"/>
  <c r="O962" i="62"/>
  <c r="N962" i="62"/>
  <c r="M962" i="62"/>
  <c r="J962" i="62"/>
  <c r="G962" i="62"/>
  <c r="F962" i="62"/>
  <c r="P961" i="62"/>
  <c r="O961" i="62"/>
  <c r="N961" i="62"/>
  <c r="M961" i="62"/>
  <c r="J961" i="62"/>
  <c r="G961" i="62"/>
  <c r="F961" i="62"/>
  <c r="P960" i="62"/>
  <c r="O960" i="62"/>
  <c r="N960" i="62"/>
  <c r="M960" i="62"/>
  <c r="J960" i="62"/>
  <c r="G960" i="62"/>
  <c r="F960" i="62"/>
  <c r="P959" i="62"/>
  <c r="O959" i="62"/>
  <c r="N959" i="62"/>
  <c r="M959" i="62"/>
  <c r="J959" i="62"/>
  <c r="G959" i="62"/>
  <c r="F959" i="62"/>
  <c r="P958" i="62"/>
  <c r="O958" i="62"/>
  <c r="N958" i="62"/>
  <c r="M958" i="62"/>
  <c r="J958" i="62"/>
  <c r="G958" i="62"/>
  <c r="F958" i="62"/>
  <c r="P957" i="62"/>
  <c r="O957" i="62"/>
  <c r="N957" i="62"/>
  <c r="M957" i="62"/>
  <c r="J957" i="62"/>
  <c r="G957" i="62"/>
  <c r="F957" i="62"/>
  <c r="P956" i="62"/>
  <c r="O956" i="62"/>
  <c r="N956" i="62"/>
  <c r="M956" i="62"/>
  <c r="J956" i="62"/>
  <c r="G956" i="62"/>
  <c r="F956" i="62"/>
  <c r="P955" i="62"/>
  <c r="O955" i="62"/>
  <c r="N955" i="62"/>
  <c r="M955" i="62"/>
  <c r="J955" i="62"/>
  <c r="G955" i="62"/>
  <c r="F955" i="62"/>
  <c r="P954" i="62"/>
  <c r="O954" i="62"/>
  <c r="N954" i="62"/>
  <c r="M954" i="62"/>
  <c r="J954" i="62"/>
  <c r="G954" i="62"/>
  <c r="F954" i="62"/>
  <c r="P953" i="62"/>
  <c r="O953" i="62"/>
  <c r="N953" i="62"/>
  <c r="M953" i="62"/>
  <c r="J953" i="62"/>
  <c r="G953" i="62"/>
  <c r="F953" i="62"/>
  <c r="P952" i="62"/>
  <c r="O952" i="62"/>
  <c r="N952" i="62"/>
  <c r="M952" i="62"/>
  <c r="J952" i="62"/>
  <c r="G952" i="62"/>
  <c r="F952" i="62"/>
  <c r="P951" i="62"/>
  <c r="O951" i="62"/>
  <c r="N951" i="62"/>
  <c r="M951" i="62"/>
  <c r="J951" i="62"/>
  <c r="G951" i="62"/>
  <c r="F951" i="62"/>
  <c r="P950" i="62"/>
  <c r="O950" i="62"/>
  <c r="N950" i="62"/>
  <c r="M950" i="62"/>
  <c r="J950" i="62"/>
  <c r="G950" i="62"/>
  <c r="F950" i="62"/>
  <c r="P949" i="62"/>
  <c r="O949" i="62"/>
  <c r="N949" i="62"/>
  <c r="M949" i="62"/>
  <c r="J949" i="62"/>
  <c r="G949" i="62"/>
  <c r="F949" i="62"/>
  <c r="P948" i="62"/>
  <c r="O948" i="62"/>
  <c r="N948" i="62"/>
  <c r="M948" i="62"/>
  <c r="J948" i="62"/>
  <c r="G948" i="62"/>
  <c r="F948" i="62"/>
  <c r="P947" i="62"/>
  <c r="O947" i="62"/>
  <c r="N947" i="62"/>
  <c r="M947" i="62"/>
  <c r="J947" i="62"/>
  <c r="G947" i="62"/>
  <c r="F947" i="62"/>
  <c r="P946" i="62"/>
  <c r="O946" i="62"/>
  <c r="N946" i="62"/>
  <c r="M946" i="62"/>
  <c r="J946" i="62"/>
  <c r="G946" i="62"/>
  <c r="F946" i="62"/>
  <c r="P945" i="62"/>
  <c r="O945" i="62"/>
  <c r="N945" i="62"/>
  <c r="M945" i="62"/>
  <c r="J945" i="62"/>
  <c r="G945" i="62"/>
  <c r="F945" i="62"/>
  <c r="P944" i="62"/>
  <c r="O944" i="62"/>
  <c r="N944" i="62"/>
  <c r="M944" i="62"/>
  <c r="J944" i="62"/>
  <c r="G944" i="62"/>
  <c r="F944" i="62"/>
  <c r="P943" i="62"/>
  <c r="O943" i="62"/>
  <c r="N943" i="62"/>
  <c r="M943" i="62"/>
  <c r="J943" i="62"/>
  <c r="G943" i="62"/>
  <c r="F943" i="62"/>
  <c r="P942" i="62"/>
  <c r="O942" i="62"/>
  <c r="N942" i="62"/>
  <c r="M942" i="62"/>
  <c r="J942" i="62"/>
  <c r="G942" i="62"/>
  <c r="F942" i="62"/>
  <c r="P941" i="62"/>
  <c r="O941" i="62"/>
  <c r="N941" i="62"/>
  <c r="M941" i="62"/>
  <c r="J941" i="62"/>
  <c r="G941" i="62"/>
  <c r="F941" i="62"/>
  <c r="P940" i="62"/>
  <c r="O940" i="62"/>
  <c r="N940" i="62"/>
  <c r="M940" i="62"/>
  <c r="J940" i="62"/>
  <c r="G940" i="62"/>
  <c r="F940" i="62"/>
  <c r="P939" i="62"/>
  <c r="O939" i="62"/>
  <c r="N939" i="62"/>
  <c r="M939" i="62"/>
  <c r="J939" i="62"/>
  <c r="G939" i="62"/>
  <c r="F939" i="62"/>
  <c r="P938" i="62"/>
  <c r="O938" i="62"/>
  <c r="N938" i="62"/>
  <c r="M938" i="62"/>
  <c r="J938" i="62"/>
  <c r="G938" i="62"/>
  <c r="F938" i="62"/>
  <c r="P937" i="62"/>
  <c r="O937" i="62"/>
  <c r="N937" i="62"/>
  <c r="M937" i="62"/>
  <c r="J937" i="62"/>
  <c r="G937" i="62"/>
  <c r="F937" i="62"/>
  <c r="P936" i="62"/>
  <c r="O936" i="62"/>
  <c r="N936" i="62"/>
  <c r="M936" i="62"/>
  <c r="J936" i="62"/>
  <c r="G936" i="62"/>
  <c r="F936" i="62"/>
  <c r="P935" i="62"/>
  <c r="O935" i="62"/>
  <c r="N935" i="62"/>
  <c r="M935" i="62"/>
  <c r="J935" i="62"/>
  <c r="G935" i="62"/>
  <c r="F935" i="62"/>
  <c r="P934" i="62"/>
  <c r="O934" i="62"/>
  <c r="N934" i="62"/>
  <c r="M934" i="62"/>
  <c r="J934" i="62"/>
  <c r="G934" i="62"/>
  <c r="F934" i="62"/>
  <c r="P933" i="62"/>
  <c r="O933" i="62"/>
  <c r="N933" i="62"/>
  <c r="M933" i="62"/>
  <c r="J933" i="62"/>
  <c r="G933" i="62"/>
  <c r="F933" i="62"/>
  <c r="P932" i="62"/>
  <c r="O932" i="62"/>
  <c r="N932" i="62"/>
  <c r="M932" i="62"/>
  <c r="J932" i="62"/>
  <c r="G932" i="62"/>
  <c r="F932" i="62"/>
  <c r="P931" i="62"/>
  <c r="O931" i="62"/>
  <c r="N931" i="62"/>
  <c r="M931" i="62"/>
  <c r="J931" i="62"/>
  <c r="G931" i="62"/>
  <c r="F931" i="62"/>
  <c r="P930" i="62"/>
  <c r="O930" i="62"/>
  <c r="N930" i="62"/>
  <c r="M930" i="62"/>
  <c r="J930" i="62"/>
  <c r="G930" i="62"/>
  <c r="F930" i="62"/>
  <c r="P929" i="62"/>
  <c r="O929" i="62"/>
  <c r="N929" i="62"/>
  <c r="M929" i="62"/>
  <c r="J929" i="62"/>
  <c r="G929" i="62"/>
  <c r="F929" i="62"/>
  <c r="P928" i="62"/>
  <c r="O928" i="62"/>
  <c r="N928" i="62"/>
  <c r="M928" i="62"/>
  <c r="J928" i="62"/>
  <c r="G928" i="62"/>
  <c r="F928" i="62"/>
  <c r="P927" i="62"/>
  <c r="O927" i="62"/>
  <c r="N927" i="62"/>
  <c r="M927" i="62"/>
  <c r="J927" i="62"/>
  <c r="G927" i="62"/>
  <c r="F927" i="62"/>
  <c r="P926" i="62"/>
  <c r="O926" i="62"/>
  <c r="N926" i="62"/>
  <c r="M926" i="62"/>
  <c r="J926" i="62"/>
  <c r="G926" i="62"/>
  <c r="F926" i="62"/>
  <c r="P925" i="62"/>
  <c r="O925" i="62"/>
  <c r="N925" i="62"/>
  <c r="M925" i="62"/>
  <c r="J925" i="62"/>
  <c r="G925" i="62"/>
  <c r="F925" i="62"/>
  <c r="P924" i="62"/>
  <c r="O924" i="62"/>
  <c r="N924" i="62"/>
  <c r="M924" i="62"/>
  <c r="J924" i="62"/>
  <c r="G924" i="62"/>
  <c r="F924" i="62"/>
  <c r="P923" i="62"/>
  <c r="O923" i="62"/>
  <c r="N923" i="62"/>
  <c r="M923" i="62"/>
  <c r="J923" i="62"/>
  <c r="G923" i="62"/>
  <c r="F923" i="62"/>
  <c r="P922" i="62"/>
  <c r="O922" i="62"/>
  <c r="N922" i="62"/>
  <c r="M922" i="62"/>
  <c r="J922" i="62"/>
  <c r="G922" i="62"/>
  <c r="F922" i="62"/>
  <c r="P921" i="62"/>
  <c r="O921" i="62"/>
  <c r="N921" i="62"/>
  <c r="M921" i="62"/>
  <c r="J921" i="62"/>
  <c r="G921" i="62"/>
  <c r="F921" i="62"/>
  <c r="P920" i="62"/>
  <c r="O920" i="62"/>
  <c r="N920" i="62"/>
  <c r="M920" i="62"/>
  <c r="J920" i="62"/>
  <c r="G920" i="62"/>
  <c r="F920" i="62"/>
  <c r="P919" i="62"/>
  <c r="O919" i="62"/>
  <c r="N919" i="62"/>
  <c r="M919" i="62"/>
  <c r="J919" i="62"/>
  <c r="G919" i="62"/>
  <c r="F919" i="62"/>
  <c r="P918" i="62"/>
  <c r="O918" i="62"/>
  <c r="N918" i="62"/>
  <c r="M918" i="62"/>
  <c r="J918" i="62"/>
  <c r="G918" i="62"/>
  <c r="F918" i="62"/>
  <c r="P917" i="62"/>
  <c r="O917" i="62"/>
  <c r="N917" i="62"/>
  <c r="M917" i="62"/>
  <c r="J917" i="62"/>
  <c r="G917" i="62"/>
  <c r="F917" i="62"/>
  <c r="P916" i="62"/>
  <c r="O916" i="62"/>
  <c r="N916" i="62"/>
  <c r="M916" i="62"/>
  <c r="J916" i="62"/>
  <c r="G916" i="62"/>
  <c r="F916" i="62"/>
  <c r="P915" i="62"/>
  <c r="O915" i="62"/>
  <c r="N915" i="62"/>
  <c r="M915" i="62"/>
  <c r="J915" i="62"/>
  <c r="G915" i="62"/>
  <c r="F915" i="62"/>
  <c r="P914" i="62"/>
  <c r="O914" i="62"/>
  <c r="N914" i="62"/>
  <c r="M914" i="62"/>
  <c r="J914" i="62"/>
  <c r="G914" i="62"/>
  <c r="F914" i="62"/>
  <c r="P913" i="62"/>
  <c r="O913" i="62"/>
  <c r="N913" i="62"/>
  <c r="M913" i="62"/>
  <c r="J913" i="62"/>
  <c r="G913" i="62"/>
  <c r="F913" i="62"/>
  <c r="P912" i="62"/>
  <c r="O912" i="62"/>
  <c r="N912" i="62"/>
  <c r="M912" i="62"/>
  <c r="J912" i="62"/>
  <c r="G912" i="62"/>
  <c r="F912" i="62"/>
  <c r="P911" i="62"/>
  <c r="O911" i="62"/>
  <c r="N911" i="62"/>
  <c r="M911" i="62"/>
  <c r="J911" i="62"/>
  <c r="G911" i="62"/>
  <c r="F911" i="62"/>
  <c r="P910" i="62"/>
  <c r="O910" i="62"/>
  <c r="N910" i="62"/>
  <c r="M910" i="62"/>
  <c r="J910" i="62"/>
  <c r="G910" i="62"/>
  <c r="F910" i="62"/>
  <c r="P909" i="62"/>
  <c r="O909" i="62"/>
  <c r="N909" i="62"/>
  <c r="M909" i="62"/>
  <c r="J909" i="62"/>
  <c r="G909" i="62"/>
  <c r="F909" i="62"/>
  <c r="P908" i="62"/>
  <c r="O908" i="62"/>
  <c r="N908" i="62"/>
  <c r="M908" i="62"/>
  <c r="J908" i="62"/>
  <c r="G908" i="62"/>
  <c r="F908" i="62"/>
  <c r="P907" i="62"/>
  <c r="O907" i="62"/>
  <c r="N907" i="62"/>
  <c r="M907" i="62"/>
  <c r="J907" i="62"/>
  <c r="G907" i="62"/>
  <c r="F907" i="62"/>
  <c r="P906" i="62"/>
  <c r="O906" i="62"/>
  <c r="N906" i="62"/>
  <c r="M906" i="62"/>
  <c r="J906" i="62"/>
  <c r="G906" i="62"/>
  <c r="F906" i="62"/>
  <c r="P905" i="62"/>
  <c r="O905" i="62"/>
  <c r="N905" i="62"/>
  <c r="M905" i="62"/>
  <c r="J905" i="62"/>
  <c r="G905" i="62"/>
  <c r="F905" i="62"/>
  <c r="P904" i="62"/>
  <c r="O904" i="62"/>
  <c r="N904" i="62"/>
  <c r="M904" i="62"/>
  <c r="J904" i="62"/>
  <c r="G904" i="62"/>
  <c r="F904" i="62"/>
  <c r="P903" i="62"/>
  <c r="O903" i="62"/>
  <c r="N903" i="62"/>
  <c r="M903" i="62"/>
  <c r="J903" i="62"/>
  <c r="G903" i="62"/>
  <c r="F903" i="62"/>
  <c r="P902" i="62"/>
  <c r="O902" i="62"/>
  <c r="N902" i="62"/>
  <c r="M902" i="62"/>
  <c r="J902" i="62"/>
  <c r="G902" i="62"/>
  <c r="F902" i="62"/>
  <c r="P901" i="62"/>
  <c r="O901" i="62"/>
  <c r="N901" i="62"/>
  <c r="M901" i="62"/>
  <c r="J901" i="62"/>
  <c r="G901" i="62"/>
  <c r="F901" i="62"/>
  <c r="P900" i="62"/>
  <c r="O900" i="62"/>
  <c r="N900" i="62"/>
  <c r="M900" i="62"/>
  <c r="J900" i="62"/>
  <c r="G900" i="62"/>
  <c r="F900" i="62"/>
  <c r="P899" i="62"/>
  <c r="O899" i="62"/>
  <c r="N899" i="62"/>
  <c r="M899" i="62"/>
  <c r="J899" i="62"/>
  <c r="G899" i="62"/>
  <c r="F899" i="62"/>
  <c r="P898" i="62"/>
  <c r="O898" i="62"/>
  <c r="N898" i="62"/>
  <c r="M898" i="62"/>
  <c r="J898" i="62"/>
  <c r="G898" i="62"/>
  <c r="F898" i="62"/>
  <c r="P897" i="62"/>
  <c r="O897" i="62"/>
  <c r="N897" i="62"/>
  <c r="M897" i="62"/>
  <c r="J897" i="62"/>
  <c r="G897" i="62"/>
  <c r="F897" i="62"/>
  <c r="P896" i="62"/>
  <c r="O896" i="62"/>
  <c r="N896" i="62"/>
  <c r="M896" i="62"/>
  <c r="J896" i="62"/>
  <c r="G896" i="62"/>
  <c r="F896" i="62"/>
  <c r="P895" i="62"/>
  <c r="O895" i="62"/>
  <c r="N895" i="62"/>
  <c r="M895" i="62"/>
  <c r="J895" i="62"/>
  <c r="G895" i="62"/>
  <c r="F895" i="62"/>
  <c r="P894" i="62"/>
  <c r="O894" i="62"/>
  <c r="N894" i="62"/>
  <c r="M894" i="62"/>
  <c r="J894" i="62"/>
  <c r="G894" i="62"/>
  <c r="F894" i="62"/>
  <c r="P893" i="62"/>
  <c r="O893" i="62"/>
  <c r="N893" i="62"/>
  <c r="M893" i="62"/>
  <c r="J893" i="62"/>
  <c r="G893" i="62"/>
  <c r="F893" i="62"/>
  <c r="P892" i="62"/>
  <c r="O892" i="62"/>
  <c r="N892" i="62"/>
  <c r="M892" i="62"/>
  <c r="J892" i="62"/>
  <c r="G892" i="62"/>
  <c r="F892" i="62"/>
  <c r="P891" i="62"/>
  <c r="O891" i="62"/>
  <c r="N891" i="62"/>
  <c r="M891" i="62"/>
  <c r="J891" i="62"/>
  <c r="G891" i="62"/>
  <c r="F891" i="62"/>
  <c r="P890" i="62"/>
  <c r="O890" i="62"/>
  <c r="N890" i="62"/>
  <c r="M890" i="62"/>
  <c r="J890" i="62"/>
  <c r="G890" i="62"/>
  <c r="F890" i="62"/>
  <c r="P889" i="62"/>
  <c r="O889" i="62"/>
  <c r="N889" i="62"/>
  <c r="M889" i="62"/>
  <c r="J889" i="62"/>
  <c r="G889" i="62"/>
  <c r="F889" i="62"/>
  <c r="P888" i="62"/>
  <c r="O888" i="62"/>
  <c r="N888" i="62"/>
  <c r="M888" i="62"/>
  <c r="J888" i="62"/>
  <c r="G888" i="62"/>
  <c r="F888" i="62"/>
  <c r="P887" i="62"/>
  <c r="O887" i="62"/>
  <c r="N887" i="62"/>
  <c r="M887" i="62"/>
  <c r="J887" i="62"/>
  <c r="G887" i="62"/>
  <c r="F887" i="62"/>
  <c r="P886" i="62"/>
  <c r="O886" i="62"/>
  <c r="N886" i="62"/>
  <c r="M886" i="62"/>
  <c r="J886" i="62"/>
  <c r="G886" i="62"/>
  <c r="F886" i="62"/>
  <c r="P885" i="62"/>
  <c r="O885" i="62"/>
  <c r="N885" i="62"/>
  <c r="M885" i="62"/>
  <c r="J885" i="62"/>
  <c r="G885" i="62"/>
  <c r="F885" i="62"/>
  <c r="P884" i="62"/>
  <c r="O884" i="62"/>
  <c r="N884" i="62"/>
  <c r="M884" i="62"/>
  <c r="J884" i="62"/>
  <c r="G884" i="62"/>
  <c r="F884" i="62"/>
  <c r="P883" i="62"/>
  <c r="O883" i="62"/>
  <c r="N883" i="62"/>
  <c r="M883" i="62"/>
  <c r="J883" i="62"/>
  <c r="G883" i="62"/>
  <c r="F883" i="62"/>
  <c r="P882" i="62"/>
  <c r="O882" i="62"/>
  <c r="N882" i="62"/>
  <c r="M882" i="62"/>
  <c r="J882" i="62"/>
  <c r="G882" i="62"/>
  <c r="F882" i="62"/>
  <c r="P881" i="62"/>
  <c r="O881" i="62"/>
  <c r="N881" i="62"/>
  <c r="M881" i="62"/>
  <c r="J881" i="62"/>
  <c r="G881" i="62"/>
  <c r="F881" i="62"/>
  <c r="P880" i="62"/>
  <c r="O880" i="62"/>
  <c r="N880" i="62"/>
  <c r="M880" i="62"/>
  <c r="J880" i="62"/>
  <c r="G880" i="62"/>
  <c r="F880" i="62"/>
  <c r="P879" i="62"/>
  <c r="O879" i="62"/>
  <c r="N879" i="62"/>
  <c r="M879" i="62"/>
  <c r="J879" i="62"/>
  <c r="G879" i="62"/>
  <c r="F879" i="62"/>
  <c r="P878" i="62"/>
  <c r="O878" i="62"/>
  <c r="N878" i="62"/>
  <c r="M878" i="62"/>
  <c r="J878" i="62"/>
  <c r="G878" i="62"/>
  <c r="F878" i="62"/>
  <c r="P877" i="62"/>
  <c r="O877" i="62"/>
  <c r="N877" i="62"/>
  <c r="M877" i="62"/>
  <c r="J877" i="62"/>
  <c r="G877" i="62"/>
  <c r="F877" i="62"/>
  <c r="P876" i="62"/>
  <c r="O876" i="62"/>
  <c r="N876" i="62"/>
  <c r="M876" i="62"/>
  <c r="J876" i="62"/>
  <c r="G876" i="62"/>
  <c r="F876" i="62"/>
  <c r="P875" i="62"/>
  <c r="O875" i="62"/>
  <c r="N875" i="62"/>
  <c r="M875" i="62"/>
  <c r="J875" i="62"/>
  <c r="G875" i="62"/>
  <c r="F875" i="62"/>
  <c r="P874" i="62"/>
  <c r="O874" i="62"/>
  <c r="N874" i="62"/>
  <c r="M874" i="62"/>
  <c r="J874" i="62"/>
  <c r="G874" i="62"/>
  <c r="F874" i="62"/>
  <c r="P873" i="62"/>
  <c r="O873" i="62"/>
  <c r="N873" i="62"/>
  <c r="M873" i="62"/>
  <c r="J873" i="62"/>
  <c r="G873" i="62"/>
  <c r="F873" i="62"/>
  <c r="P872" i="62"/>
  <c r="O872" i="62"/>
  <c r="N872" i="62"/>
  <c r="M872" i="62"/>
  <c r="J872" i="62"/>
  <c r="G872" i="62"/>
  <c r="F872" i="62"/>
  <c r="P871" i="62"/>
  <c r="O871" i="62"/>
  <c r="N871" i="62"/>
  <c r="M871" i="62"/>
  <c r="J871" i="62"/>
  <c r="G871" i="62"/>
  <c r="F871" i="62"/>
  <c r="P870" i="62"/>
  <c r="O870" i="62"/>
  <c r="N870" i="62"/>
  <c r="M870" i="62"/>
  <c r="J870" i="62"/>
  <c r="G870" i="62"/>
  <c r="F870" i="62"/>
  <c r="P869" i="62"/>
  <c r="O869" i="62"/>
  <c r="N869" i="62"/>
  <c r="M869" i="62"/>
  <c r="J869" i="62"/>
  <c r="G869" i="62"/>
  <c r="F869" i="62"/>
  <c r="P868" i="62"/>
  <c r="O868" i="62"/>
  <c r="N868" i="62"/>
  <c r="M868" i="62"/>
  <c r="J868" i="62"/>
  <c r="G868" i="62"/>
  <c r="F868" i="62"/>
  <c r="P867" i="62"/>
  <c r="O867" i="62"/>
  <c r="N867" i="62"/>
  <c r="M867" i="62"/>
  <c r="J867" i="62"/>
  <c r="G867" i="62"/>
  <c r="F867" i="62"/>
  <c r="P866" i="62"/>
  <c r="O866" i="62"/>
  <c r="N866" i="62"/>
  <c r="M866" i="62"/>
  <c r="J866" i="62"/>
  <c r="G866" i="62"/>
  <c r="F866" i="62"/>
  <c r="P865" i="62"/>
  <c r="O865" i="62"/>
  <c r="N865" i="62"/>
  <c r="M865" i="62"/>
  <c r="J865" i="62"/>
  <c r="G865" i="62"/>
  <c r="F865" i="62"/>
  <c r="P864" i="62"/>
  <c r="O864" i="62"/>
  <c r="N864" i="62"/>
  <c r="M864" i="62"/>
  <c r="J864" i="62"/>
  <c r="G864" i="62"/>
  <c r="F864" i="62"/>
  <c r="P863" i="62"/>
  <c r="O863" i="62"/>
  <c r="N863" i="62"/>
  <c r="M863" i="62"/>
  <c r="J863" i="62"/>
  <c r="G863" i="62"/>
  <c r="F863" i="62"/>
  <c r="P862" i="62"/>
  <c r="O862" i="62"/>
  <c r="N862" i="62"/>
  <c r="M862" i="62"/>
  <c r="J862" i="62"/>
  <c r="G862" i="62"/>
  <c r="F862" i="62"/>
  <c r="P861" i="62"/>
  <c r="O861" i="62"/>
  <c r="N861" i="62"/>
  <c r="M861" i="62"/>
  <c r="J861" i="62"/>
  <c r="G861" i="62"/>
  <c r="F861" i="62"/>
  <c r="P860" i="62"/>
  <c r="O860" i="62"/>
  <c r="N860" i="62"/>
  <c r="M860" i="62"/>
  <c r="J860" i="62"/>
  <c r="G860" i="62"/>
  <c r="F860" i="62"/>
  <c r="P859" i="62"/>
  <c r="O859" i="62"/>
  <c r="N859" i="62"/>
  <c r="M859" i="62"/>
  <c r="J859" i="62"/>
  <c r="G859" i="62"/>
  <c r="F859" i="62"/>
  <c r="P858" i="62"/>
  <c r="O858" i="62"/>
  <c r="N858" i="62"/>
  <c r="M858" i="62"/>
  <c r="J858" i="62"/>
  <c r="G858" i="62"/>
  <c r="F858" i="62"/>
  <c r="P857" i="62"/>
  <c r="O857" i="62"/>
  <c r="N857" i="62"/>
  <c r="M857" i="62"/>
  <c r="J857" i="62"/>
  <c r="G857" i="62"/>
  <c r="F857" i="62"/>
  <c r="P856" i="62"/>
  <c r="O856" i="62"/>
  <c r="N856" i="62"/>
  <c r="M856" i="62"/>
  <c r="J856" i="62"/>
  <c r="G856" i="62"/>
  <c r="F856" i="62"/>
  <c r="P855" i="62"/>
  <c r="O855" i="62"/>
  <c r="N855" i="62"/>
  <c r="M855" i="62"/>
  <c r="J855" i="62"/>
  <c r="G855" i="62"/>
  <c r="F855" i="62"/>
  <c r="P854" i="62"/>
  <c r="O854" i="62"/>
  <c r="N854" i="62"/>
  <c r="M854" i="62"/>
  <c r="J854" i="62"/>
  <c r="G854" i="62"/>
  <c r="F854" i="62"/>
  <c r="P853" i="62"/>
  <c r="O853" i="62"/>
  <c r="N853" i="62"/>
  <c r="M853" i="62"/>
  <c r="J853" i="62"/>
  <c r="G853" i="62"/>
  <c r="F853" i="62"/>
  <c r="P852" i="62"/>
  <c r="O852" i="62"/>
  <c r="N852" i="62"/>
  <c r="M852" i="62"/>
  <c r="J852" i="62"/>
  <c r="G852" i="62"/>
  <c r="F852" i="62"/>
  <c r="P851" i="62"/>
  <c r="O851" i="62"/>
  <c r="N851" i="62"/>
  <c r="M851" i="62"/>
  <c r="J851" i="62"/>
  <c r="G851" i="62"/>
  <c r="F851" i="62"/>
  <c r="P850" i="62"/>
  <c r="O850" i="62"/>
  <c r="N850" i="62"/>
  <c r="M850" i="62"/>
  <c r="J850" i="62"/>
  <c r="G850" i="62"/>
  <c r="F850" i="62"/>
  <c r="P849" i="62"/>
  <c r="O849" i="62"/>
  <c r="N849" i="62"/>
  <c r="M849" i="62"/>
  <c r="J849" i="62"/>
  <c r="G849" i="62"/>
  <c r="F849" i="62"/>
  <c r="P848" i="62"/>
  <c r="O848" i="62"/>
  <c r="N848" i="62"/>
  <c r="M848" i="62"/>
  <c r="J848" i="62"/>
  <c r="G848" i="62"/>
  <c r="F848" i="62"/>
  <c r="P847" i="62"/>
  <c r="O847" i="62"/>
  <c r="N847" i="62"/>
  <c r="M847" i="62"/>
  <c r="J847" i="62"/>
  <c r="G847" i="62"/>
  <c r="F847" i="62"/>
  <c r="P846" i="62"/>
  <c r="O846" i="62"/>
  <c r="N846" i="62"/>
  <c r="M846" i="62"/>
  <c r="J846" i="62"/>
  <c r="G846" i="62"/>
  <c r="F846" i="62"/>
  <c r="P845" i="62"/>
  <c r="O845" i="62"/>
  <c r="N845" i="62"/>
  <c r="M845" i="62"/>
  <c r="J845" i="62"/>
  <c r="G845" i="62"/>
  <c r="F845" i="62"/>
  <c r="P844" i="62"/>
  <c r="O844" i="62"/>
  <c r="N844" i="62"/>
  <c r="M844" i="62"/>
  <c r="J844" i="62"/>
  <c r="G844" i="62"/>
  <c r="F844" i="62"/>
  <c r="P843" i="62"/>
  <c r="O843" i="62"/>
  <c r="N843" i="62"/>
  <c r="M843" i="62"/>
  <c r="J843" i="62"/>
  <c r="G843" i="62"/>
  <c r="F843" i="62"/>
  <c r="P842" i="62"/>
  <c r="O842" i="62"/>
  <c r="N842" i="62"/>
  <c r="M842" i="62"/>
  <c r="J842" i="62"/>
  <c r="G842" i="62"/>
  <c r="F842" i="62"/>
  <c r="P841" i="62"/>
  <c r="O841" i="62"/>
  <c r="N841" i="62"/>
  <c r="M841" i="62"/>
  <c r="J841" i="62"/>
  <c r="G841" i="62"/>
  <c r="F841" i="62"/>
  <c r="P840" i="62"/>
  <c r="O840" i="62"/>
  <c r="N840" i="62"/>
  <c r="M840" i="62"/>
  <c r="J840" i="62"/>
  <c r="G840" i="62"/>
  <c r="F840" i="62"/>
  <c r="P839" i="62"/>
  <c r="O839" i="62"/>
  <c r="N839" i="62"/>
  <c r="M839" i="62"/>
  <c r="J839" i="62"/>
  <c r="G839" i="62"/>
  <c r="F839" i="62"/>
  <c r="P838" i="62"/>
  <c r="O838" i="62"/>
  <c r="N838" i="62"/>
  <c r="M838" i="62"/>
  <c r="J838" i="62"/>
  <c r="G838" i="62"/>
  <c r="F838" i="62"/>
  <c r="P837" i="62"/>
  <c r="O837" i="62"/>
  <c r="N837" i="62"/>
  <c r="M837" i="62"/>
  <c r="J837" i="62"/>
  <c r="G837" i="62"/>
  <c r="F837" i="62"/>
  <c r="P836" i="62"/>
  <c r="O836" i="62"/>
  <c r="N836" i="62"/>
  <c r="M836" i="62"/>
  <c r="J836" i="62"/>
  <c r="G836" i="62"/>
  <c r="F836" i="62"/>
  <c r="P835" i="62"/>
  <c r="O835" i="62"/>
  <c r="N835" i="62"/>
  <c r="M835" i="62"/>
  <c r="J835" i="62"/>
  <c r="G835" i="62"/>
  <c r="F835" i="62"/>
  <c r="P834" i="62"/>
  <c r="O834" i="62"/>
  <c r="N834" i="62"/>
  <c r="M834" i="62"/>
  <c r="J834" i="62"/>
  <c r="G834" i="62"/>
  <c r="F834" i="62"/>
  <c r="P833" i="62"/>
  <c r="O833" i="62"/>
  <c r="N833" i="62"/>
  <c r="M833" i="62"/>
  <c r="J833" i="62"/>
  <c r="G833" i="62"/>
  <c r="F833" i="62"/>
  <c r="P832" i="62"/>
  <c r="O832" i="62"/>
  <c r="N832" i="62"/>
  <c r="M832" i="62"/>
  <c r="J832" i="62"/>
  <c r="G832" i="62"/>
  <c r="F832" i="62"/>
  <c r="P831" i="62"/>
  <c r="O831" i="62"/>
  <c r="N831" i="62"/>
  <c r="M831" i="62"/>
  <c r="J831" i="62"/>
  <c r="G831" i="62"/>
  <c r="F831" i="62"/>
  <c r="P830" i="62"/>
  <c r="O830" i="62"/>
  <c r="N830" i="62"/>
  <c r="M830" i="62"/>
  <c r="J830" i="62"/>
  <c r="G830" i="62"/>
  <c r="F830" i="62"/>
  <c r="P829" i="62"/>
  <c r="O829" i="62"/>
  <c r="N829" i="62"/>
  <c r="M829" i="62"/>
  <c r="J829" i="62"/>
  <c r="G829" i="62"/>
  <c r="F829" i="62"/>
  <c r="P828" i="62"/>
  <c r="O828" i="62"/>
  <c r="N828" i="62"/>
  <c r="M828" i="62"/>
  <c r="J828" i="62"/>
  <c r="G828" i="62"/>
  <c r="F828" i="62"/>
  <c r="P827" i="62"/>
  <c r="O827" i="62"/>
  <c r="N827" i="62"/>
  <c r="M827" i="62"/>
  <c r="J827" i="62"/>
  <c r="G827" i="62"/>
  <c r="F827" i="62"/>
  <c r="P826" i="62"/>
  <c r="O826" i="62"/>
  <c r="N826" i="62"/>
  <c r="M826" i="62"/>
  <c r="J826" i="62"/>
  <c r="G826" i="62"/>
  <c r="F826" i="62"/>
  <c r="P825" i="62"/>
  <c r="O825" i="62"/>
  <c r="N825" i="62"/>
  <c r="M825" i="62"/>
  <c r="J825" i="62"/>
  <c r="G825" i="62"/>
  <c r="F825" i="62"/>
  <c r="P824" i="62"/>
  <c r="O824" i="62"/>
  <c r="N824" i="62"/>
  <c r="M824" i="62"/>
  <c r="J824" i="62"/>
  <c r="G824" i="62"/>
  <c r="F824" i="62"/>
  <c r="P823" i="62"/>
  <c r="O823" i="62"/>
  <c r="N823" i="62"/>
  <c r="M823" i="62"/>
  <c r="J823" i="62"/>
  <c r="G823" i="62"/>
  <c r="F823" i="62"/>
  <c r="P822" i="62"/>
  <c r="O822" i="62"/>
  <c r="N822" i="62"/>
  <c r="M822" i="62"/>
  <c r="J822" i="62"/>
  <c r="G822" i="62"/>
  <c r="F822" i="62"/>
  <c r="P821" i="62"/>
  <c r="O821" i="62"/>
  <c r="N821" i="62"/>
  <c r="M821" i="62"/>
  <c r="J821" i="62"/>
  <c r="G821" i="62"/>
  <c r="F821" i="62"/>
  <c r="P820" i="62"/>
  <c r="O820" i="62"/>
  <c r="N820" i="62"/>
  <c r="M820" i="62"/>
  <c r="J820" i="62"/>
  <c r="G820" i="62"/>
  <c r="F820" i="62"/>
  <c r="P819" i="62"/>
  <c r="O819" i="62"/>
  <c r="N819" i="62"/>
  <c r="M819" i="62"/>
  <c r="J819" i="62"/>
  <c r="G819" i="62"/>
  <c r="F819" i="62"/>
  <c r="P818" i="62"/>
  <c r="O818" i="62"/>
  <c r="N818" i="62"/>
  <c r="M818" i="62"/>
  <c r="J818" i="62"/>
  <c r="G818" i="62"/>
  <c r="F818" i="62"/>
  <c r="P817" i="62"/>
  <c r="O817" i="62"/>
  <c r="N817" i="62"/>
  <c r="M817" i="62"/>
  <c r="J817" i="62"/>
  <c r="G817" i="62"/>
  <c r="F817" i="62"/>
  <c r="P816" i="62"/>
  <c r="O816" i="62"/>
  <c r="N816" i="62"/>
  <c r="M816" i="62"/>
  <c r="J816" i="62"/>
  <c r="G816" i="62"/>
  <c r="F816" i="62"/>
  <c r="P815" i="62"/>
  <c r="O815" i="62"/>
  <c r="N815" i="62"/>
  <c r="M815" i="62"/>
  <c r="J815" i="62"/>
  <c r="G815" i="62"/>
  <c r="F815" i="62"/>
  <c r="P814" i="62"/>
  <c r="O814" i="62"/>
  <c r="N814" i="62"/>
  <c r="M814" i="62"/>
  <c r="J814" i="62"/>
  <c r="G814" i="62"/>
  <c r="F814" i="62"/>
  <c r="P813" i="62"/>
  <c r="O813" i="62"/>
  <c r="N813" i="62"/>
  <c r="M813" i="62"/>
  <c r="J813" i="62"/>
  <c r="G813" i="62"/>
  <c r="F813" i="62"/>
  <c r="P812" i="62"/>
  <c r="O812" i="62"/>
  <c r="N812" i="62"/>
  <c r="M812" i="62"/>
  <c r="J812" i="62"/>
  <c r="G812" i="62"/>
  <c r="F812" i="62"/>
  <c r="P811" i="62"/>
  <c r="O811" i="62"/>
  <c r="N811" i="62"/>
  <c r="M811" i="62"/>
  <c r="J811" i="62"/>
  <c r="G811" i="62"/>
  <c r="F811" i="62"/>
  <c r="P810" i="62"/>
  <c r="O810" i="62"/>
  <c r="N810" i="62"/>
  <c r="M810" i="62"/>
  <c r="J810" i="62"/>
  <c r="G810" i="62"/>
  <c r="F810" i="62"/>
  <c r="P809" i="62"/>
  <c r="O809" i="62"/>
  <c r="N809" i="62"/>
  <c r="M809" i="62"/>
  <c r="J809" i="62"/>
  <c r="G809" i="62"/>
  <c r="F809" i="62"/>
  <c r="P808" i="62"/>
  <c r="O808" i="62"/>
  <c r="N808" i="62"/>
  <c r="M808" i="62"/>
  <c r="J808" i="62"/>
  <c r="G808" i="62"/>
  <c r="F808" i="62"/>
  <c r="P807" i="62"/>
  <c r="O807" i="62"/>
  <c r="N807" i="62"/>
  <c r="M807" i="62"/>
  <c r="J807" i="62"/>
  <c r="G807" i="62"/>
  <c r="F807" i="62"/>
  <c r="P806" i="62"/>
  <c r="O806" i="62"/>
  <c r="N806" i="62"/>
  <c r="M806" i="62"/>
  <c r="J806" i="62"/>
  <c r="G806" i="62"/>
  <c r="F806" i="62"/>
  <c r="P805" i="62"/>
  <c r="O805" i="62"/>
  <c r="N805" i="62"/>
  <c r="M805" i="62"/>
  <c r="J805" i="62"/>
  <c r="G805" i="62"/>
  <c r="F805" i="62"/>
  <c r="P804" i="62"/>
  <c r="O804" i="62"/>
  <c r="N804" i="62"/>
  <c r="M804" i="62"/>
  <c r="J804" i="62"/>
  <c r="G804" i="62"/>
  <c r="F804" i="62"/>
  <c r="P803" i="62"/>
  <c r="O803" i="62"/>
  <c r="N803" i="62"/>
  <c r="M803" i="62"/>
  <c r="J803" i="62"/>
  <c r="G803" i="62"/>
  <c r="F803" i="62"/>
  <c r="P802" i="62"/>
  <c r="O802" i="62"/>
  <c r="N802" i="62"/>
  <c r="M802" i="62"/>
  <c r="J802" i="62"/>
  <c r="G802" i="62"/>
  <c r="F802" i="62"/>
  <c r="P801" i="62"/>
  <c r="O801" i="62"/>
  <c r="N801" i="62"/>
  <c r="M801" i="62"/>
  <c r="J801" i="62"/>
  <c r="G801" i="62"/>
  <c r="F801" i="62"/>
  <c r="P800" i="62"/>
  <c r="O800" i="62"/>
  <c r="N800" i="62"/>
  <c r="M800" i="62"/>
  <c r="J800" i="62"/>
  <c r="G800" i="62"/>
  <c r="F800" i="62"/>
  <c r="P799" i="62"/>
  <c r="O799" i="62"/>
  <c r="N799" i="62"/>
  <c r="M799" i="62"/>
  <c r="J799" i="62"/>
  <c r="G799" i="62"/>
  <c r="F799" i="62"/>
  <c r="P798" i="62"/>
  <c r="O798" i="62"/>
  <c r="N798" i="62"/>
  <c r="M798" i="62"/>
  <c r="J798" i="62"/>
  <c r="G798" i="62"/>
  <c r="F798" i="62"/>
  <c r="P797" i="62"/>
  <c r="O797" i="62"/>
  <c r="N797" i="62"/>
  <c r="M797" i="62"/>
  <c r="J797" i="62"/>
  <c r="G797" i="62"/>
  <c r="F797" i="62"/>
  <c r="P796" i="62"/>
  <c r="O796" i="62"/>
  <c r="N796" i="62"/>
  <c r="M796" i="62"/>
  <c r="J796" i="62"/>
  <c r="G796" i="62"/>
  <c r="F796" i="62"/>
  <c r="P795" i="62"/>
  <c r="O795" i="62"/>
  <c r="N795" i="62"/>
  <c r="M795" i="62"/>
  <c r="J795" i="62"/>
  <c r="G795" i="62"/>
  <c r="F795" i="62"/>
  <c r="P794" i="62"/>
  <c r="O794" i="62"/>
  <c r="N794" i="62"/>
  <c r="M794" i="62"/>
  <c r="J794" i="62"/>
  <c r="G794" i="62"/>
  <c r="F794" i="62"/>
  <c r="P793" i="62"/>
  <c r="O793" i="62"/>
  <c r="N793" i="62"/>
  <c r="M793" i="62"/>
  <c r="J793" i="62"/>
  <c r="G793" i="62"/>
  <c r="F793" i="62"/>
  <c r="P792" i="62"/>
  <c r="O792" i="62"/>
  <c r="N792" i="62"/>
  <c r="M792" i="62"/>
  <c r="J792" i="62"/>
  <c r="G792" i="62"/>
  <c r="F792" i="62"/>
  <c r="P791" i="62"/>
  <c r="O791" i="62"/>
  <c r="N791" i="62"/>
  <c r="M791" i="62"/>
  <c r="J791" i="62"/>
  <c r="G791" i="62"/>
  <c r="F791" i="62"/>
  <c r="P790" i="62"/>
  <c r="O790" i="62"/>
  <c r="N790" i="62"/>
  <c r="M790" i="62"/>
  <c r="J790" i="62"/>
  <c r="G790" i="62"/>
  <c r="F790" i="62"/>
  <c r="P789" i="62"/>
  <c r="O789" i="62"/>
  <c r="N789" i="62"/>
  <c r="M789" i="62"/>
  <c r="J789" i="62"/>
  <c r="G789" i="62"/>
  <c r="F789" i="62"/>
  <c r="P788" i="62"/>
  <c r="O788" i="62"/>
  <c r="N788" i="62"/>
  <c r="M788" i="62"/>
  <c r="J788" i="62"/>
  <c r="G788" i="62"/>
  <c r="F788" i="62"/>
  <c r="P787" i="62"/>
  <c r="O787" i="62"/>
  <c r="N787" i="62"/>
  <c r="M787" i="62"/>
  <c r="J787" i="62"/>
  <c r="G787" i="62"/>
  <c r="F787" i="62"/>
  <c r="P786" i="62"/>
  <c r="O786" i="62"/>
  <c r="N786" i="62"/>
  <c r="M786" i="62"/>
  <c r="J786" i="62"/>
  <c r="G786" i="62"/>
  <c r="F786" i="62"/>
  <c r="P785" i="62"/>
  <c r="O785" i="62"/>
  <c r="N785" i="62"/>
  <c r="M785" i="62"/>
  <c r="J785" i="62"/>
  <c r="G785" i="62"/>
  <c r="F785" i="62"/>
  <c r="P784" i="62"/>
  <c r="O784" i="62"/>
  <c r="N784" i="62"/>
  <c r="M784" i="62"/>
  <c r="J784" i="62"/>
  <c r="G784" i="62"/>
  <c r="F784" i="62"/>
  <c r="P783" i="62"/>
  <c r="O783" i="62"/>
  <c r="N783" i="62"/>
  <c r="M783" i="62"/>
  <c r="J783" i="62"/>
  <c r="G783" i="62"/>
  <c r="F783" i="62"/>
  <c r="P782" i="62"/>
  <c r="O782" i="62"/>
  <c r="N782" i="62"/>
  <c r="M782" i="62"/>
  <c r="J782" i="62"/>
  <c r="G782" i="62"/>
  <c r="F782" i="62"/>
  <c r="P781" i="62"/>
  <c r="O781" i="62"/>
  <c r="N781" i="62"/>
  <c r="M781" i="62"/>
  <c r="J781" i="62"/>
  <c r="G781" i="62"/>
  <c r="F781" i="62"/>
  <c r="P780" i="62"/>
  <c r="O780" i="62"/>
  <c r="N780" i="62"/>
  <c r="M780" i="62"/>
  <c r="J780" i="62"/>
  <c r="G780" i="62"/>
  <c r="F780" i="62"/>
  <c r="P779" i="62"/>
  <c r="O779" i="62"/>
  <c r="N779" i="62"/>
  <c r="M779" i="62"/>
  <c r="J779" i="62"/>
  <c r="G779" i="62"/>
  <c r="F779" i="62"/>
  <c r="P778" i="62"/>
  <c r="O778" i="62"/>
  <c r="N778" i="62"/>
  <c r="M778" i="62"/>
  <c r="J778" i="62"/>
  <c r="G778" i="62"/>
  <c r="F778" i="62"/>
  <c r="P777" i="62"/>
  <c r="O777" i="62"/>
  <c r="N777" i="62"/>
  <c r="M777" i="62"/>
  <c r="J777" i="62"/>
  <c r="G777" i="62"/>
  <c r="F777" i="62"/>
  <c r="P776" i="62"/>
  <c r="O776" i="62"/>
  <c r="N776" i="62"/>
  <c r="M776" i="62"/>
  <c r="J776" i="62"/>
  <c r="G776" i="62"/>
  <c r="F776" i="62"/>
  <c r="P775" i="62"/>
  <c r="O775" i="62"/>
  <c r="N775" i="62"/>
  <c r="M775" i="62"/>
  <c r="J775" i="62"/>
  <c r="G775" i="62"/>
  <c r="F775" i="62"/>
  <c r="P774" i="62"/>
  <c r="O774" i="62"/>
  <c r="N774" i="62"/>
  <c r="M774" i="62"/>
  <c r="J774" i="62"/>
  <c r="G774" i="62"/>
  <c r="F774" i="62"/>
  <c r="P773" i="62"/>
  <c r="O773" i="62"/>
  <c r="N773" i="62"/>
  <c r="M773" i="62"/>
  <c r="J773" i="62"/>
  <c r="G773" i="62"/>
  <c r="F773" i="62"/>
  <c r="P772" i="62"/>
  <c r="O772" i="62"/>
  <c r="N772" i="62"/>
  <c r="M772" i="62"/>
  <c r="J772" i="62"/>
  <c r="G772" i="62"/>
  <c r="F772" i="62"/>
  <c r="P771" i="62"/>
  <c r="O771" i="62"/>
  <c r="N771" i="62"/>
  <c r="M771" i="62"/>
  <c r="J771" i="62"/>
  <c r="G771" i="62"/>
  <c r="F771" i="62"/>
  <c r="P770" i="62"/>
  <c r="O770" i="62"/>
  <c r="N770" i="62"/>
  <c r="M770" i="62"/>
  <c r="J770" i="62"/>
  <c r="G770" i="62"/>
  <c r="F770" i="62"/>
  <c r="P769" i="62"/>
  <c r="O769" i="62"/>
  <c r="N769" i="62"/>
  <c r="M769" i="62"/>
  <c r="J769" i="62"/>
  <c r="G769" i="62"/>
  <c r="F769" i="62"/>
  <c r="P768" i="62"/>
  <c r="O768" i="62"/>
  <c r="N768" i="62"/>
  <c r="M768" i="62"/>
  <c r="J768" i="62"/>
  <c r="G768" i="62"/>
  <c r="F768" i="62"/>
  <c r="P767" i="62"/>
  <c r="O767" i="62"/>
  <c r="N767" i="62"/>
  <c r="M767" i="62"/>
  <c r="J767" i="62"/>
  <c r="G767" i="62"/>
  <c r="F767" i="62"/>
  <c r="P766" i="62"/>
  <c r="O766" i="62"/>
  <c r="N766" i="62"/>
  <c r="M766" i="62"/>
  <c r="J766" i="62"/>
  <c r="G766" i="62"/>
  <c r="F766" i="62"/>
  <c r="P765" i="62"/>
  <c r="O765" i="62"/>
  <c r="N765" i="62"/>
  <c r="M765" i="62"/>
  <c r="J765" i="62"/>
  <c r="G765" i="62"/>
  <c r="F765" i="62"/>
  <c r="P764" i="62"/>
  <c r="O764" i="62"/>
  <c r="N764" i="62"/>
  <c r="M764" i="62"/>
  <c r="J764" i="62"/>
  <c r="G764" i="62"/>
  <c r="F764" i="62"/>
  <c r="P763" i="62"/>
  <c r="O763" i="62"/>
  <c r="N763" i="62"/>
  <c r="M763" i="62"/>
  <c r="J763" i="62"/>
  <c r="G763" i="62"/>
  <c r="F763" i="62"/>
  <c r="P762" i="62"/>
  <c r="O762" i="62"/>
  <c r="N762" i="62"/>
  <c r="M762" i="62"/>
  <c r="J762" i="62"/>
  <c r="G762" i="62"/>
  <c r="F762" i="62"/>
  <c r="P761" i="62"/>
  <c r="O761" i="62"/>
  <c r="N761" i="62"/>
  <c r="M761" i="62"/>
  <c r="J761" i="62"/>
  <c r="G761" i="62"/>
  <c r="F761" i="62"/>
  <c r="P760" i="62"/>
  <c r="O760" i="62"/>
  <c r="N760" i="62"/>
  <c r="M760" i="62"/>
  <c r="J760" i="62"/>
  <c r="G760" i="62"/>
  <c r="F760" i="62"/>
  <c r="P759" i="62"/>
  <c r="O759" i="62"/>
  <c r="N759" i="62"/>
  <c r="M759" i="62"/>
  <c r="J759" i="62"/>
  <c r="G759" i="62"/>
  <c r="F759" i="62"/>
  <c r="P758" i="62"/>
  <c r="O758" i="62"/>
  <c r="N758" i="62"/>
  <c r="M758" i="62"/>
  <c r="J758" i="62"/>
  <c r="G758" i="62"/>
  <c r="F758" i="62"/>
  <c r="P757" i="62"/>
  <c r="O757" i="62"/>
  <c r="N757" i="62"/>
  <c r="M757" i="62"/>
  <c r="J757" i="62"/>
  <c r="G757" i="62"/>
  <c r="F757" i="62"/>
  <c r="P756" i="62"/>
  <c r="O756" i="62"/>
  <c r="N756" i="62"/>
  <c r="M756" i="62"/>
  <c r="J756" i="62"/>
  <c r="G756" i="62"/>
  <c r="F756" i="62"/>
  <c r="P755" i="62"/>
  <c r="O755" i="62"/>
  <c r="N755" i="62"/>
  <c r="M755" i="62"/>
  <c r="J755" i="62"/>
  <c r="G755" i="62"/>
  <c r="F755" i="62"/>
  <c r="P754" i="62"/>
  <c r="O754" i="62"/>
  <c r="N754" i="62"/>
  <c r="M754" i="62"/>
  <c r="J754" i="62"/>
  <c r="G754" i="62"/>
  <c r="F754" i="62"/>
  <c r="P753" i="62"/>
  <c r="O753" i="62"/>
  <c r="N753" i="62"/>
  <c r="M753" i="62"/>
  <c r="J753" i="62"/>
  <c r="G753" i="62"/>
  <c r="F753" i="62"/>
  <c r="P752" i="62"/>
  <c r="O752" i="62"/>
  <c r="N752" i="62"/>
  <c r="M752" i="62"/>
  <c r="J752" i="62"/>
  <c r="G752" i="62"/>
  <c r="F752" i="62"/>
  <c r="P751" i="62"/>
  <c r="O751" i="62"/>
  <c r="N751" i="62"/>
  <c r="M751" i="62"/>
  <c r="J751" i="62"/>
  <c r="G751" i="62"/>
  <c r="F751" i="62"/>
  <c r="P750" i="62"/>
  <c r="O750" i="62"/>
  <c r="N750" i="62"/>
  <c r="M750" i="62"/>
  <c r="J750" i="62"/>
  <c r="G750" i="62"/>
  <c r="F750" i="62"/>
  <c r="P749" i="62"/>
  <c r="O749" i="62"/>
  <c r="N749" i="62"/>
  <c r="M749" i="62"/>
  <c r="J749" i="62"/>
  <c r="G749" i="62"/>
  <c r="F749" i="62"/>
  <c r="P748" i="62"/>
  <c r="O748" i="62"/>
  <c r="N748" i="62"/>
  <c r="M748" i="62"/>
  <c r="J748" i="62"/>
  <c r="G748" i="62"/>
  <c r="F748" i="62"/>
  <c r="P747" i="62"/>
  <c r="O747" i="62"/>
  <c r="N747" i="62"/>
  <c r="M747" i="62"/>
  <c r="J747" i="62"/>
  <c r="G747" i="62"/>
  <c r="F747" i="62"/>
  <c r="P746" i="62"/>
  <c r="O746" i="62"/>
  <c r="N746" i="62"/>
  <c r="M746" i="62"/>
  <c r="J746" i="62"/>
  <c r="G746" i="62"/>
  <c r="F746" i="62"/>
  <c r="P745" i="62"/>
  <c r="O745" i="62"/>
  <c r="N745" i="62"/>
  <c r="M745" i="62"/>
  <c r="J745" i="62"/>
  <c r="G745" i="62"/>
  <c r="F745" i="62"/>
  <c r="P744" i="62"/>
  <c r="O744" i="62"/>
  <c r="N744" i="62"/>
  <c r="M744" i="62"/>
  <c r="J744" i="62"/>
  <c r="G744" i="62"/>
  <c r="F744" i="62"/>
  <c r="P743" i="62"/>
  <c r="O743" i="62"/>
  <c r="N743" i="62"/>
  <c r="M743" i="62"/>
  <c r="J743" i="62"/>
  <c r="G743" i="62"/>
  <c r="F743" i="62"/>
  <c r="P742" i="62"/>
  <c r="O742" i="62"/>
  <c r="N742" i="62"/>
  <c r="M742" i="62"/>
  <c r="J742" i="62"/>
  <c r="G742" i="62"/>
  <c r="F742" i="62"/>
  <c r="P741" i="62"/>
  <c r="O741" i="62"/>
  <c r="N741" i="62"/>
  <c r="M741" i="62"/>
  <c r="J741" i="62"/>
  <c r="G741" i="62"/>
  <c r="F741" i="62"/>
  <c r="P740" i="62"/>
  <c r="O740" i="62"/>
  <c r="N740" i="62"/>
  <c r="M740" i="62"/>
  <c r="J740" i="62"/>
  <c r="G740" i="62"/>
  <c r="F740" i="62"/>
  <c r="P739" i="62"/>
  <c r="O739" i="62"/>
  <c r="N739" i="62"/>
  <c r="M739" i="62"/>
  <c r="J739" i="62"/>
  <c r="G739" i="62"/>
  <c r="F739" i="62"/>
  <c r="P738" i="62"/>
  <c r="O738" i="62"/>
  <c r="N738" i="62"/>
  <c r="M738" i="62"/>
  <c r="J738" i="62"/>
  <c r="G738" i="62"/>
  <c r="F738" i="62"/>
  <c r="P737" i="62"/>
  <c r="O737" i="62"/>
  <c r="N737" i="62"/>
  <c r="M737" i="62"/>
  <c r="J737" i="62"/>
  <c r="G737" i="62"/>
  <c r="F737" i="62"/>
  <c r="P736" i="62"/>
  <c r="O736" i="62"/>
  <c r="N736" i="62"/>
  <c r="M736" i="62"/>
  <c r="J736" i="62"/>
  <c r="G736" i="62"/>
  <c r="F736" i="62"/>
  <c r="P735" i="62"/>
  <c r="O735" i="62"/>
  <c r="N735" i="62"/>
  <c r="M735" i="62"/>
  <c r="J735" i="62"/>
  <c r="G735" i="62"/>
  <c r="F735" i="62"/>
  <c r="P734" i="62"/>
  <c r="O734" i="62"/>
  <c r="N734" i="62"/>
  <c r="M734" i="62"/>
  <c r="J734" i="62"/>
  <c r="G734" i="62"/>
  <c r="F734" i="62"/>
  <c r="P733" i="62"/>
  <c r="O733" i="62"/>
  <c r="N733" i="62"/>
  <c r="M733" i="62"/>
  <c r="J733" i="62"/>
  <c r="G733" i="62"/>
  <c r="F733" i="62"/>
  <c r="P732" i="62"/>
  <c r="O732" i="62"/>
  <c r="N732" i="62"/>
  <c r="M732" i="62"/>
  <c r="J732" i="62"/>
  <c r="G732" i="62"/>
  <c r="F732" i="62"/>
  <c r="P731" i="62"/>
  <c r="O731" i="62"/>
  <c r="N731" i="62"/>
  <c r="M731" i="62"/>
  <c r="J731" i="62"/>
  <c r="G731" i="62"/>
  <c r="F731" i="62"/>
  <c r="P730" i="62"/>
  <c r="O730" i="62"/>
  <c r="N730" i="62"/>
  <c r="M730" i="62"/>
  <c r="J730" i="62"/>
  <c r="G730" i="62"/>
  <c r="F730" i="62"/>
  <c r="P729" i="62"/>
  <c r="O729" i="62"/>
  <c r="N729" i="62"/>
  <c r="M729" i="62"/>
  <c r="J729" i="62"/>
  <c r="G729" i="62"/>
  <c r="F729" i="62"/>
  <c r="P728" i="62"/>
  <c r="O728" i="62"/>
  <c r="N728" i="62"/>
  <c r="M728" i="62"/>
  <c r="J728" i="62"/>
  <c r="G728" i="62"/>
  <c r="F728" i="62"/>
  <c r="P727" i="62"/>
  <c r="O727" i="62"/>
  <c r="N727" i="62"/>
  <c r="M727" i="62"/>
  <c r="J727" i="62"/>
  <c r="G727" i="62"/>
  <c r="F727" i="62"/>
  <c r="P726" i="62"/>
  <c r="O726" i="62"/>
  <c r="N726" i="62"/>
  <c r="M726" i="62"/>
  <c r="J726" i="62"/>
  <c r="G726" i="62"/>
  <c r="F726" i="62"/>
  <c r="P725" i="62"/>
  <c r="O725" i="62"/>
  <c r="N725" i="62"/>
  <c r="M725" i="62"/>
  <c r="J725" i="62"/>
  <c r="G725" i="62"/>
  <c r="F725" i="62"/>
  <c r="P724" i="62"/>
  <c r="O724" i="62"/>
  <c r="N724" i="62"/>
  <c r="M724" i="62"/>
  <c r="J724" i="62"/>
  <c r="G724" i="62"/>
  <c r="F724" i="62"/>
  <c r="P723" i="62"/>
  <c r="O723" i="62"/>
  <c r="N723" i="62"/>
  <c r="M723" i="62"/>
  <c r="J723" i="62"/>
  <c r="G723" i="62"/>
  <c r="F723" i="62"/>
  <c r="P722" i="62"/>
  <c r="O722" i="62"/>
  <c r="N722" i="62"/>
  <c r="M722" i="62"/>
  <c r="J722" i="62"/>
  <c r="G722" i="62"/>
  <c r="F722" i="62"/>
  <c r="P721" i="62"/>
  <c r="O721" i="62"/>
  <c r="N721" i="62"/>
  <c r="M721" i="62"/>
  <c r="J721" i="62"/>
  <c r="G721" i="62"/>
  <c r="F721" i="62"/>
  <c r="P720" i="62"/>
  <c r="O720" i="62"/>
  <c r="N720" i="62"/>
  <c r="M720" i="62"/>
  <c r="J720" i="62"/>
  <c r="G720" i="62"/>
  <c r="F720" i="62"/>
  <c r="P719" i="62"/>
  <c r="O719" i="62"/>
  <c r="N719" i="62"/>
  <c r="M719" i="62"/>
  <c r="J719" i="62"/>
  <c r="G719" i="62"/>
  <c r="F719" i="62"/>
  <c r="P718" i="62"/>
  <c r="O718" i="62"/>
  <c r="N718" i="62"/>
  <c r="M718" i="62"/>
  <c r="J718" i="62"/>
  <c r="G718" i="62"/>
  <c r="F718" i="62"/>
  <c r="P717" i="62"/>
  <c r="O717" i="62"/>
  <c r="N717" i="62"/>
  <c r="M717" i="62"/>
  <c r="J717" i="62"/>
  <c r="G717" i="62"/>
  <c r="F717" i="62"/>
  <c r="P716" i="62"/>
  <c r="O716" i="62"/>
  <c r="N716" i="62"/>
  <c r="M716" i="62"/>
  <c r="J716" i="62"/>
  <c r="G716" i="62"/>
  <c r="F716" i="62"/>
  <c r="P715" i="62"/>
  <c r="O715" i="62"/>
  <c r="N715" i="62"/>
  <c r="M715" i="62"/>
  <c r="J715" i="62"/>
  <c r="G715" i="62"/>
  <c r="F715" i="62"/>
  <c r="P714" i="62"/>
  <c r="O714" i="62"/>
  <c r="N714" i="62"/>
  <c r="M714" i="62"/>
  <c r="J714" i="62"/>
  <c r="G714" i="62"/>
  <c r="F714" i="62"/>
  <c r="P713" i="62"/>
  <c r="O713" i="62"/>
  <c r="N713" i="62"/>
  <c r="M713" i="62"/>
  <c r="J713" i="62"/>
  <c r="G713" i="62"/>
  <c r="F713" i="62"/>
  <c r="P712" i="62"/>
  <c r="O712" i="62"/>
  <c r="N712" i="62"/>
  <c r="M712" i="62"/>
  <c r="J712" i="62"/>
  <c r="G712" i="62"/>
  <c r="F712" i="62"/>
  <c r="P711" i="62"/>
  <c r="O711" i="62"/>
  <c r="N711" i="62"/>
  <c r="M711" i="62"/>
  <c r="J711" i="62"/>
  <c r="G711" i="62"/>
  <c r="F711" i="62"/>
  <c r="P710" i="62"/>
  <c r="O710" i="62"/>
  <c r="N710" i="62"/>
  <c r="M710" i="62"/>
  <c r="J710" i="62"/>
  <c r="G710" i="62"/>
  <c r="F710" i="62"/>
  <c r="P709" i="62"/>
  <c r="O709" i="62"/>
  <c r="N709" i="62"/>
  <c r="M709" i="62"/>
  <c r="J709" i="62"/>
  <c r="G709" i="62"/>
  <c r="F709" i="62"/>
  <c r="P708" i="62"/>
  <c r="O708" i="62"/>
  <c r="N708" i="62"/>
  <c r="M708" i="62"/>
  <c r="J708" i="62"/>
  <c r="G708" i="62"/>
  <c r="F708" i="62"/>
  <c r="P707" i="62"/>
  <c r="O707" i="62"/>
  <c r="N707" i="62"/>
  <c r="M707" i="62"/>
  <c r="J707" i="62"/>
  <c r="G707" i="62"/>
  <c r="F707" i="62"/>
  <c r="P706" i="62"/>
  <c r="O706" i="62"/>
  <c r="N706" i="62"/>
  <c r="M706" i="62"/>
  <c r="J706" i="62"/>
  <c r="G706" i="62"/>
  <c r="F706" i="62"/>
  <c r="P705" i="62"/>
  <c r="O705" i="62"/>
  <c r="N705" i="62"/>
  <c r="M705" i="62"/>
  <c r="J705" i="62"/>
  <c r="G705" i="62"/>
  <c r="F705" i="62"/>
  <c r="P704" i="62"/>
  <c r="O704" i="62"/>
  <c r="N704" i="62"/>
  <c r="M704" i="62"/>
  <c r="J704" i="62"/>
  <c r="G704" i="62"/>
  <c r="F704" i="62"/>
  <c r="P703" i="62"/>
  <c r="O703" i="62"/>
  <c r="N703" i="62"/>
  <c r="M703" i="62"/>
  <c r="J703" i="62"/>
  <c r="G703" i="62"/>
  <c r="F703" i="62"/>
  <c r="P702" i="62"/>
  <c r="O702" i="62"/>
  <c r="N702" i="62"/>
  <c r="M702" i="62"/>
  <c r="J702" i="62"/>
  <c r="G702" i="62"/>
  <c r="F702" i="62"/>
  <c r="P701" i="62"/>
  <c r="O701" i="62"/>
  <c r="N701" i="62"/>
  <c r="M701" i="62"/>
  <c r="J701" i="62"/>
  <c r="G701" i="62"/>
  <c r="F701" i="62"/>
  <c r="P700" i="62"/>
  <c r="O700" i="62"/>
  <c r="N700" i="62"/>
  <c r="M700" i="62"/>
  <c r="J700" i="62"/>
  <c r="G700" i="62"/>
  <c r="F700" i="62"/>
  <c r="P699" i="62"/>
  <c r="O699" i="62"/>
  <c r="N699" i="62"/>
  <c r="M699" i="62"/>
  <c r="J699" i="62"/>
  <c r="G699" i="62"/>
  <c r="F699" i="62"/>
  <c r="P698" i="62"/>
  <c r="O698" i="62"/>
  <c r="N698" i="62"/>
  <c r="M698" i="62"/>
  <c r="J698" i="62"/>
  <c r="G698" i="62"/>
  <c r="F698" i="62"/>
  <c r="P697" i="62"/>
  <c r="O697" i="62"/>
  <c r="N697" i="62"/>
  <c r="M697" i="62"/>
  <c r="J697" i="62"/>
  <c r="G697" i="62"/>
  <c r="F697" i="62"/>
  <c r="P696" i="62"/>
  <c r="O696" i="62"/>
  <c r="N696" i="62"/>
  <c r="M696" i="62"/>
  <c r="J696" i="62"/>
  <c r="G696" i="62"/>
  <c r="F696" i="62"/>
  <c r="P695" i="62"/>
  <c r="O695" i="62"/>
  <c r="N695" i="62"/>
  <c r="M695" i="62"/>
  <c r="J695" i="62"/>
  <c r="G695" i="62"/>
  <c r="F695" i="62"/>
  <c r="P694" i="62"/>
  <c r="O694" i="62"/>
  <c r="N694" i="62"/>
  <c r="M694" i="62"/>
  <c r="J694" i="62"/>
  <c r="G694" i="62"/>
  <c r="F694" i="62"/>
  <c r="P693" i="62"/>
  <c r="O693" i="62"/>
  <c r="N693" i="62"/>
  <c r="M693" i="62"/>
  <c r="J693" i="62"/>
  <c r="G693" i="62"/>
  <c r="F693" i="62"/>
  <c r="P692" i="62"/>
  <c r="O692" i="62"/>
  <c r="N692" i="62"/>
  <c r="M692" i="62"/>
  <c r="J692" i="62"/>
  <c r="G692" i="62"/>
  <c r="F692" i="62"/>
  <c r="P691" i="62"/>
  <c r="O691" i="62"/>
  <c r="N691" i="62"/>
  <c r="M691" i="62"/>
  <c r="J691" i="62"/>
  <c r="G691" i="62"/>
  <c r="F691" i="62"/>
  <c r="P690" i="62"/>
  <c r="O690" i="62"/>
  <c r="N690" i="62"/>
  <c r="M690" i="62"/>
  <c r="J690" i="62"/>
  <c r="G690" i="62"/>
  <c r="F690" i="62"/>
  <c r="P689" i="62"/>
  <c r="O689" i="62"/>
  <c r="N689" i="62"/>
  <c r="M689" i="62"/>
  <c r="J689" i="62"/>
  <c r="G689" i="62"/>
  <c r="F689" i="62"/>
  <c r="P688" i="62"/>
  <c r="O688" i="62"/>
  <c r="N688" i="62"/>
  <c r="M688" i="62"/>
  <c r="J688" i="62"/>
  <c r="G688" i="62"/>
  <c r="F688" i="62"/>
  <c r="P687" i="62"/>
  <c r="O687" i="62"/>
  <c r="N687" i="62"/>
  <c r="M687" i="62"/>
  <c r="J687" i="62"/>
  <c r="G687" i="62"/>
  <c r="F687" i="62"/>
  <c r="P686" i="62"/>
  <c r="O686" i="62"/>
  <c r="N686" i="62"/>
  <c r="M686" i="62"/>
  <c r="J686" i="62"/>
  <c r="G686" i="62"/>
  <c r="F686" i="62"/>
  <c r="P685" i="62"/>
  <c r="O685" i="62"/>
  <c r="N685" i="62"/>
  <c r="M685" i="62"/>
  <c r="J685" i="62"/>
  <c r="G685" i="62"/>
  <c r="F685" i="62"/>
  <c r="P684" i="62"/>
  <c r="O684" i="62"/>
  <c r="N684" i="62"/>
  <c r="M684" i="62"/>
  <c r="J684" i="62"/>
  <c r="G684" i="62"/>
  <c r="F684" i="62"/>
  <c r="P683" i="62"/>
  <c r="O683" i="62"/>
  <c r="N683" i="62"/>
  <c r="M683" i="62"/>
  <c r="J683" i="62"/>
  <c r="G683" i="62"/>
  <c r="F683" i="62"/>
  <c r="P682" i="62"/>
  <c r="O682" i="62"/>
  <c r="N682" i="62"/>
  <c r="M682" i="62"/>
  <c r="J682" i="62"/>
  <c r="G682" i="62"/>
  <c r="F682" i="62"/>
  <c r="P681" i="62"/>
  <c r="O681" i="62"/>
  <c r="N681" i="62"/>
  <c r="M681" i="62"/>
  <c r="J681" i="62"/>
  <c r="G681" i="62"/>
  <c r="F681" i="62"/>
  <c r="P680" i="62"/>
  <c r="O680" i="62"/>
  <c r="N680" i="62"/>
  <c r="M680" i="62"/>
  <c r="J680" i="62"/>
  <c r="G680" i="62"/>
  <c r="F680" i="62"/>
  <c r="P679" i="62"/>
  <c r="O679" i="62"/>
  <c r="N679" i="62"/>
  <c r="M679" i="62"/>
  <c r="J679" i="62"/>
  <c r="G679" i="62"/>
  <c r="F679" i="62"/>
  <c r="P678" i="62"/>
  <c r="O678" i="62"/>
  <c r="N678" i="62"/>
  <c r="M678" i="62"/>
  <c r="J678" i="62"/>
  <c r="G678" i="62"/>
  <c r="F678" i="62"/>
  <c r="P677" i="62"/>
  <c r="O677" i="62"/>
  <c r="N677" i="62"/>
  <c r="M677" i="62"/>
  <c r="J677" i="62"/>
  <c r="G677" i="62"/>
  <c r="F677" i="62"/>
  <c r="P676" i="62"/>
  <c r="O676" i="62"/>
  <c r="N676" i="62"/>
  <c r="M676" i="62"/>
  <c r="J676" i="62"/>
  <c r="G676" i="62"/>
  <c r="F676" i="62"/>
  <c r="P675" i="62"/>
  <c r="O675" i="62"/>
  <c r="N675" i="62"/>
  <c r="M675" i="62"/>
  <c r="J675" i="62"/>
  <c r="G675" i="62"/>
  <c r="F675" i="62"/>
  <c r="P674" i="62"/>
  <c r="O674" i="62"/>
  <c r="N674" i="62"/>
  <c r="M674" i="62"/>
  <c r="J674" i="62"/>
  <c r="G674" i="62"/>
  <c r="F674" i="62"/>
  <c r="P673" i="62"/>
  <c r="O673" i="62"/>
  <c r="N673" i="62"/>
  <c r="M673" i="62"/>
  <c r="J673" i="62"/>
  <c r="G673" i="62"/>
  <c r="F673" i="62"/>
  <c r="P672" i="62"/>
  <c r="O672" i="62"/>
  <c r="N672" i="62"/>
  <c r="M672" i="62"/>
  <c r="J672" i="62"/>
  <c r="G672" i="62"/>
  <c r="F672" i="62"/>
  <c r="P671" i="62"/>
  <c r="O671" i="62"/>
  <c r="N671" i="62"/>
  <c r="M671" i="62"/>
  <c r="J671" i="62"/>
  <c r="G671" i="62"/>
  <c r="F671" i="62"/>
  <c r="P670" i="62"/>
  <c r="O670" i="62"/>
  <c r="N670" i="62"/>
  <c r="M670" i="62"/>
  <c r="J670" i="62"/>
  <c r="G670" i="62"/>
  <c r="F670" i="62"/>
  <c r="P669" i="62"/>
  <c r="O669" i="62"/>
  <c r="N669" i="62"/>
  <c r="M669" i="62"/>
  <c r="J669" i="62"/>
  <c r="G669" i="62"/>
  <c r="F669" i="62"/>
  <c r="P668" i="62"/>
  <c r="O668" i="62"/>
  <c r="N668" i="62"/>
  <c r="M668" i="62"/>
  <c r="J668" i="62"/>
  <c r="G668" i="62"/>
  <c r="F668" i="62"/>
  <c r="P667" i="62"/>
  <c r="O667" i="62"/>
  <c r="N667" i="62"/>
  <c r="M667" i="62"/>
  <c r="J667" i="62"/>
  <c r="G667" i="62"/>
  <c r="F667" i="62"/>
  <c r="P666" i="62"/>
  <c r="O666" i="62"/>
  <c r="N666" i="62"/>
  <c r="M666" i="62"/>
  <c r="J666" i="62"/>
  <c r="G666" i="62"/>
  <c r="F666" i="62"/>
  <c r="P665" i="62"/>
  <c r="O665" i="62"/>
  <c r="N665" i="62"/>
  <c r="M665" i="62"/>
  <c r="J665" i="62"/>
  <c r="G665" i="62"/>
  <c r="F665" i="62"/>
  <c r="P664" i="62"/>
  <c r="O664" i="62"/>
  <c r="N664" i="62"/>
  <c r="M664" i="62"/>
  <c r="J664" i="62"/>
  <c r="G664" i="62"/>
  <c r="F664" i="62"/>
  <c r="P663" i="62"/>
  <c r="O663" i="62"/>
  <c r="N663" i="62"/>
  <c r="M663" i="62"/>
  <c r="J663" i="62"/>
  <c r="G663" i="62"/>
  <c r="F663" i="62"/>
  <c r="P662" i="62"/>
  <c r="O662" i="62"/>
  <c r="N662" i="62"/>
  <c r="M662" i="62"/>
  <c r="J662" i="62"/>
  <c r="G662" i="62"/>
  <c r="F662" i="62"/>
  <c r="P661" i="62"/>
  <c r="O661" i="62"/>
  <c r="N661" i="62"/>
  <c r="M661" i="62"/>
  <c r="J661" i="62"/>
  <c r="G661" i="62"/>
  <c r="F661" i="62"/>
  <c r="P660" i="62"/>
  <c r="O660" i="62"/>
  <c r="N660" i="62"/>
  <c r="M660" i="62"/>
  <c r="J660" i="62"/>
  <c r="G660" i="62"/>
  <c r="F660" i="62"/>
  <c r="P659" i="62"/>
  <c r="O659" i="62"/>
  <c r="N659" i="62"/>
  <c r="M659" i="62"/>
  <c r="J659" i="62"/>
  <c r="G659" i="62"/>
  <c r="F659" i="62"/>
  <c r="P658" i="62"/>
  <c r="O658" i="62"/>
  <c r="N658" i="62"/>
  <c r="M658" i="62"/>
  <c r="J658" i="62"/>
  <c r="G658" i="62"/>
  <c r="F658" i="62"/>
  <c r="P657" i="62"/>
  <c r="O657" i="62"/>
  <c r="N657" i="62"/>
  <c r="M657" i="62"/>
  <c r="J657" i="62"/>
  <c r="G657" i="62"/>
  <c r="F657" i="62"/>
  <c r="P656" i="62"/>
  <c r="O656" i="62"/>
  <c r="N656" i="62"/>
  <c r="M656" i="62"/>
  <c r="J656" i="62"/>
  <c r="G656" i="62"/>
  <c r="F656" i="62"/>
  <c r="P655" i="62"/>
  <c r="O655" i="62"/>
  <c r="N655" i="62"/>
  <c r="M655" i="62"/>
  <c r="J655" i="62"/>
  <c r="G655" i="62"/>
  <c r="F655" i="62"/>
  <c r="P654" i="62"/>
  <c r="O654" i="62"/>
  <c r="N654" i="62"/>
  <c r="M654" i="62"/>
  <c r="J654" i="62"/>
  <c r="G654" i="62"/>
  <c r="F654" i="62"/>
  <c r="P653" i="62"/>
  <c r="O653" i="62"/>
  <c r="N653" i="62"/>
  <c r="M653" i="62"/>
  <c r="J653" i="62"/>
  <c r="G653" i="62"/>
  <c r="F653" i="62"/>
  <c r="P652" i="62"/>
  <c r="O652" i="62"/>
  <c r="N652" i="62"/>
  <c r="M652" i="62"/>
  <c r="J652" i="62"/>
  <c r="G652" i="62"/>
  <c r="F652" i="62"/>
  <c r="P651" i="62"/>
  <c r="O651" i="62"/>
  <c r="N651" i="62"/>
  <c r="M651" i="62"/>
  <c r="J651" i="62"/>
  <c r="G651" i="62"/>
  <c r="F651" i="62"/>
  <c r="P650" i="62"/>
  <c r="O650" i="62"/>
  <c r="N650" i="62"/>
  <c r="M650" i="62"/>
  <c r="J650" i="62"/>
  <c r="G650" i="62"/>
  <c r="F650" i="62"/>
  <c r="P649" i="62"/>
  <c r="O649" i="62"/>
  <c r="N649" i="62"/>
  <c r="M649" i="62"/>
  <c r="J649" i="62"/>
  <c r="G649" i="62"/>
  <c r="F649" i="62"/>
  <c r="P648" i="62"/>
  <c r="O648" i="62"/>
  <c r="N648" i="62"/>
  <c r="M648" i="62"/>
  <c r="J648" i="62"/>
  <c r="G648" i="62"/>
  <c r="F648" i="62"/>
  <c r="P647" i="62"/>
  <c r="O647" i="62"/>
  <c r="N647" i="62"/>
  <c r="M647" i="62"/>
  <c r="J647" i="62"/>
  <c r="G647" i="62"/>
  <c r="F647" i="62"/>
  <c r="P646" i="62"/>
  <c r="O646" i="62"/>
  <c r="N646" i="62"/>
  <c r="M646" i="62"/>
  <c r="J646" i="62"/>
  <c r="G646" i="62"/>
  <c r="F646" i="62"/>
  <c r="P645" i="62"/>
  <c r="O645" i="62"/>
  <c r="N645" i="62"/>
  <c r="M645" i="62"/>
  <c r="J645" i="62"/>
  <c r="G645" i="62"/>
  <c r="F645" i="62"/>
  <c r="P644" i="62"/>
  <c r="O644" i="62"/>
  <c r="N644" i="62"/>
  <c r="M644" i="62"/>
  <c r="J644" i="62"/>
  <c r="G644" i="62"/>
  <c r="F644" i="62"/>
  <c r="P643" i="62"/>
  <c r="O643" i="62"/>
  <c r="N643" i="62"/>
  <c r="M643" i="62"/>
  <c r="J643" i="62"/>
  <c r="G643" i="62"/>
  <c r="F643" i="62"/>
  <c r="P642" i="62"/>
  <c r="O642" i="62"/>
  <c r="N642" i="62"/>
  <c r="M642" i="62"/>
  <c r="J642" i="62"/>
  <c r="G642" i="62"/>
  <c r="F642" i="62"/>
  <c r="P641" i="62"/>
  <c r="O641" i="62"/>
  <c r="N641" i="62"/>
  <c r="M641" i="62"/>
  <c r="J641" i="62"/>
  <c r="G641" i="62"/>
  <c r="F641" i="62"/>
  <c r="P640" i="62"/>
  <c r="O640" i="62"/>
  <c r="N640" i="62"/>
  <c r="M640" i="62"/>
  <c r="J640" i="62"/>
  <c r="G640" i="62"/>
  <c r="F640" i="62"/>
  <c r="P639" i="62"/>
  <c r="O639" i="62"/>
  <c r="N639" i="62"/>
  <c r="M639" i="62"/>
  <c r="J639" i="62"/>
  <c r="G639" i="62"/>
  <c r="F639" i="62"/>
  <c r="P638" i="62"/>
  <c r="O638" i="62"/>
  <c r="N638" i="62"/>
  <c r="M638" i="62"/>
  <c r="J638" i="62"/>
  <c r="G638" i="62"/>
  <c r="F638" i="62"/>
  <c r="P637" i="62"/>
  <c r="O637" i="62"/>
  <c r="N637" i="62"/>
  <c r="M637" i="62"/>
  <c r="J637" i="62"/>
  <c r="G637" i="62"/>
  <c r="F637" i="62"/>
  <c r="P636" i="62"/>
  <c r="O636" i="62"/>
  <c r="N636" i="62"/>
  <c r="M636" i="62"/>
  <c r="J636" i="62"/>
  <c r="G636" i="62"/>
  <c r="F636" i="62"/>
  <c r="P635" i="62"/>
  <c r="O635" i="62"/>
  <c r="N635" i="62"/>
  <c r="M635" i="62"/>
  <c r="J635" i="62"/>
  <c r="G635" i="62"/>
  <c r="F635" i="62"/>
  <c r="P634" i="62"/>
  <c r="O634" i="62"/>
  <c r="N634" i="62"/>
  <c r="M634" i="62"/>
  <c r="J634" i="62"/>
  <c r="G634" i="62"/>
  <c r="F634" i="62"/>
  <c r="P633" i="62"/>
  <c r="O633" i="62"/>
  <c r="N633" i="62"/>
  <c r="M633" i="62"/>
  <c r="J633" i="62"/>
  <c r="G633" i="62"/>
  <c r="F633" i="62"/>
  <c r="P632" i="62"/>
  <c r="O632" i="62"/>
  <c r="N632" i="62"/>
  <c r="M632" i="62"/>
  <c r="J632" i="62"/>
  <c r="G632" i="62"/>
  <c r="F632" i="62"/>
  <c r="P631" i="62"/>
  <c r="O631" i="62"/>
  <c r="N631" i="62"/>
  <c r="M631" i="62"/>
  <c r="J631" i="62"/>
  <c r="G631" i="62"/>
  <c r="F631" i="62"/>
  <c r="P630" i="62"/>
  <c r="O630" i="62"/>
  <c r="N630" i="62"/>
  <c r="M630" i="62"/>
  <c r="J630" i="62"/>
  <c r="G630" i="62"/>
  <c r="F630" i="62"/>
  <c r="P629" i="62"/>
  <c r="O629" i="62"/>
  <c r="N629" i="62"/>
  <c r="M629" i="62"/>
  <c r="J629" i="62"/>
  <c r="G629" i="62"/>
  <c r="F629" i="62"/>
  <c r="P628" i="62"/>
  <c r="O628" i="62"/>
  <c r="N628" i="62"/>
  <c r="M628" i="62"/>
  <c r="J628" i="62"/>
  <c r="G628" i="62"/>
  <c r="F628" i="62"/>
  <c r="P627" i="62"/>
  <c r="O627" i="62"/>
  <c r="N627" i="62"/>
  <c r="M627" i="62"/>
  <c r="J627" i="62"/>
  <c r="G627" i="62"/>
  <c r="F627" i="62"/>
  <c r="P626" i="62"/>
  <c r="O626" i="62"/>
  <c r="N626" i="62"/>
  <c r="M626" i="62"/>
  <c r="J626" i="62"/>
  <c r="G626" i="62"/>
  <c r="F626" i="62"/>
  <c r="P625" i="62"/>
  <c r="O625" i="62"/>
  <c r="N625" i="62"/>
  <c r="M625" i="62"/>
  <c r="J625" i="62"/>
  <c r="G625" i="62"/>
  <c r="F625" i="62"/>
  <c r="P624" i="62"/>
  <c r="O624" i="62"/>
  <c r="N624" i="62"/>
  <c r="M624" i="62"/>
  <c r="J624" i="62"/>
  <c r="G624" i="62"/>
  <c r="F624" i="62"/>
  <c r="P623" i="62"/>
  <c r="O623" i="62"/>
  <c r="N623" i="62"/>
  <c r="M623" i="62"/>
  <c r="J623" i="62"/>
  <c r="G623" i="62"/>
  <c r="F623" i="62"/>
  <c r="P622" i="62"/>
  <c r="O622" i="62"/>
  <c r="N622" i="62"/>
  <c r="M622" i="62"/>
  <c r="J622" i="62"/>
  <c r="G622" i="62"/>
  <c r="F622" i="62"/>
  <c r="P621" i="62"/>
  <c r="O621" i="62"/>
  <c r="N621" i="62"/>
  <c r="M621" i="62"/>
  <c r="J621" i="62"/>
  <c r="G621" i="62"/>
  <c r="F621" i="62"/>
  <c r="P620" i="62"/>
  <c r="O620" i="62"/>
  <c r="N620" i="62"/>
  <c r="M620" i="62"/>
  <c r="J620" i="62"/>
  <c r="G620" i="62"/>
  <c r="F620" i="62"/>
  <c r="P619" i="62"/>
  <c r="O619" i="62"/>
  <c r="N619" i="62"/>
  <c r="M619" i="62"/>
  <c r="J619" i="62"/>
  <c r="G619" i="62"/>
  <c r="F619" i="62"/>
  <c r="P618" i="62"/>
  <c r="O618" i="62"/>
  <c r="N618" i="62"/>
  <c r="M618" i="62"/>
  <c r="J618" i="62"/>
  <c r="G618" i="62"/>
  <c r="F618" i="62"/>
  <c r="P617" i="62"/>
  <c r="O617" i="62"/>
  <c r="N617" i="62"/>
  <c r="M617" i="62"/>
  <c r="J617" i="62"/>
  <c r="G617" i="62"/>
  <c r="F617" i="62"/>
  <c r="P616" i="62"/>
  <c r="O616" i="62"/>
  <c r="N616" i="62"/>
  <c r="M616" i="62"/>
  <c r="J616" i="62"/>
  <c r="G616" i="62"/>
  <c r="F616" i="62"/>
  <c r="P615" i="62"/>
  <c r="O615" i="62"/>
  <c r="N615" i="62"/>
  <c r="M615" i="62"/>
  <c r="J615" i="62"/>
  <c r="G615" i="62"/>
  <c r="F615" i="62"/>
  <c r="P614" i="62"/>
  <c r="O614" i="62"/>
  <c r="N614" i="62"/>
  <c r="M614" i="62"/>
  <c r="J614" i="62"/>
  <c r="G614" i="62"/>
  <c r="F614" i="62"/>
  <c r="P613" i="62"/>
  <c r="O613" i="62"/>
  <c r="N613" i="62"/>
  <c r="M613" i="62"/>
  <c r="J613" i="62"/>
  <c r="G613" i="62"/>
  <c r="F613" i="62"/>
  <c r="P612" i="62"/>
  <c r="O612" i="62"/>
  <c r="N612" i="62"/>
  <c r="M612" i="62"/>
  <c r="J612" i="62"/>
  <c r="G612" i="62"/>
  <c r="F612" i="62"/>
  <c r="P611" i="62"/>
  <c r="O611" i="62"/>
  <c r="N611" i="62"/>
  <c r="M611" i="62"/>
  <c r="J611" i="62"/>
  <c r="G611" i="62"/>
  <c r="F611" i="62"/>
  <c r="P610" i="62"/>
  <c r="O610" i="62"/>
  <c r="N610" i="62"/>
  <c r="M610" i="62"/>
  <c r="J610" i="62"/>
  <c r="G610" i="62"/>
  <c r="F610" i="62"/>
  <c r="P609" i="62"/>
  <c r="O609" i="62"/>
  <c r="N609" i="62"/>
  <c r="M609" i="62"/>
  <c r="J609" i="62"/>
  <c r="G609" i="62"/>
  <c r="F609" i="62"/>
  <c r="P608" i="62"/>
  <c r="O608" i="62"/>
  <c r="N608" i="62"/>
  <c r="M608" i="62"/>
  <c r="J608" i="62"/>
  <c r="G608" i="62"/>
  <c r="F608" i="62"/>
  <c r="P607" i="62"/>
  <c r="O607" i="62"/>
  <c r="N607" i="62"/>
  <c r="M607" i="62"/>
  <c r="J607" i="62"/>
  <c r="G607" i="62"/>
  <c r="F607" i="62"/>
  <c r="P606" i="62"/>
  <c r="O606" i="62"/>
  <c r="N606" i="62"/>
  <c r="M606" i="62"/>
  <c r="J606" i="62"/>
  <c r="G606" i="62"/>
  <c r="F606" i="62"/>
  <c r="P605" i="62"/>
  <c r="O605" i="62"/>
  <c r="N605" i="62"/>
  <c r="M605" i="62"/>
  <c r="J605" i="62"/>
  <c r="G605" i="62"/>
  <c r="F605" i="62"/>
  <c r="P604" i="62"/>
  <c r="O604" i="62"/>
  <c r="N604" i="62"/>
  <c r="M604" i="62"/>
  <c r="J604" i="62"/>
  <c r="G604" i="62"/>
  <c r="F604" i="62"/>
  <c r="P603" i="62"/>
  <c r="O603" i="62"/>
  <c r="N603" i="62"/>
  <c r="M603" i="62"/>
  <c r="J603" i="62"/>
  <c r="G603" i="62"/>
  <c r="F603" i="62"/>
  <c r="P602" i="62"/>
  <c r="O602" i="62"/>
  <c r="N602" i="62"/>
  <c r="M602" i="62"/>
  <c r="J602" i="62"/>
  <c r="G602" i="62"/>
  <c r="F602" i="62"/>
  <c r="P601" i="62"/>
  <c r="O601" i="62"/>
  <c r="N601" i="62"/>
  <c r="M601" i="62"/>
  <c r="J601" i="62"/>
  <c r="G601" i="62"/>
  <c r="F601" i="62"/>
  <c r="P600" i="62"/>
  <c r="O600" i="62"/>
  <c r="N600" i="62"/>
  <c r="M600" i="62"/>
  <c r="J600" i="62"/>
  <c r="G600" i="62"/>
  <c r="F600" i="62"/>
  <c r="P599" i="62"/>
  <c r="O599" i="62"/>
  <c r="N599" i="62"/>
  <c r="M599" i="62"/>
  <c r="J599" i="62"/>
  <c r="G599" i="62"/>
  <c r="F599" i="62"/>
  <c r="P598" i="62"/>
  <c r="O598" i="62"/>
  <c r="N598" i="62"/>
  <c r="M598" i="62"/>
  <c r="J598" i="62"/>
  <c r="G598" i="62"/>
  <c r="F598" i="62"/>
  <c r="P597" i="62"/>
  <c r="O597" i="62"/>
  <c r="N597" i="62"/>
  <c r="M597" i="62"/>
  <c r="J597" i="62"/>
  <c r="G597" i="62"/>
  <c r="F597" i="62"/>
  <c r="P596" i="62"/>
  <c r="O596" i="62"/>
  <c r="N596" i="62"/>
  <c r="M596" i="62"/>
  <c r="J596" i="62"/>
  <c r="G596" i="62"/>
  <c r="F596" i="62"/>
  <c r="P595" i="62"/>
  <c r="O595" i="62"/>
  <c r="N595" i="62"/>
  <c r="M595" i="62"/>
  <c r="J595" i="62"/>
  <c r="G595" i="62"/>
  <c r="F595" i="62"/>
  <c r="P594" i="62"/>
  <c r="O594" i="62"/>
  <c r="N594" i="62"/>
  <c r="M594" i="62"/>
  <c r="J594" i="62"/>
  <c r="G594" i="62"/>
  <c r="F594" i="62"/>
  <c r="P593" i="62"/>
  <c r="O593" i="62"/>
  <c r="N593" i="62"/>
  <c r="M593" i="62"/>
  <c r="J593" i="62"/>
  <c r="G593" i="62"/>
  <c r="F593" i="62"/>
  <c r="P592" i="62"/>
  <c r="O592" i="62"/>
  <c r="N592" i="62"/>
  <c r="M592" i="62"/>
  <c r="J592" i="62"/>
  <c r="G592" i="62"/>
  <c r="F592" i="62"/>
  <c r="P591" i="62"/>
  <c r="O591" i="62"/>
  <c r="N591" i="62"/>
  <c r="M591" i="62"/>
  <c r="J591" i="62"/>
  <c r="G591" i="62"/>
  <c r="F591" i="62"/>
  <c r="P590" i="62"/>
  <c r="O590" i="62"/>
  <c r="N590" i="62"/>
  <c r="M590" i="62"/>
  <c r="J590" i="62"/>
  <c r="G590" i="62"/>
  <c r="F590" i="62"/>
  <c r="P589" i="62"/>
  <c r="O589" i="62"/>
  <c r="N589" i="62"/>
  <c r="M589" i="62"/>
  <c r="J589" i="62"/>
  <c r="G589" i="62"/>
  <c r="F589" i="62"/>
  <c r="P588" i="62"/>
  <c r="O588" i="62"/>
  <c r="N588" i="62"/>
  <c r="M588" i="62"/>
  <c r="J588" i="62"/>
  <c r="G588" i="62"/>
  <c r="F588" i="62"/>
  <c r="P587" i="62"/>
  <c r="O587" i="62"/>
  <c r="N587" i="62"/>
  <c r="M587" i="62"/>
  <c r="J587" i="62"/>
  <c r="G587" i="62"/>
  <c r="F587" i="62"/>
  <c r="P586" i="62"/>
  <c r="O586" i="62"/>
  <c r="N586" i="62"/>
  <c r="M586" i="62"/>
  <c r="J586" i="62"/>
  <c r="G586" i="62"/>
  <c r="F586" i="62"/>
  <c r="P585" i="62"/>
  <c r="O585" i="62"/>
  <c r="N585" i="62"/>
  <c r="M585" i="62"/>
  <c r="J585" i="62"/>
  <c r="G585" i="62"/>
  <c r="F585" i="62"/>
  <c r="P584" i="62"/>
  <c r="O584" i="62"/>
  <c r="N584" i="62"/>
  <c r="M584" i="62"/>
  <c r="J584" i="62"/>
  <c r="G584" i="62"/>
  <c r="F584" i="62"/>
  <c r="P583" i="62"/>
  <c r="O583" i="62"/>
  <c r="N583" i="62"/>
  <c r="M583" i="62"/>
  <c r="J583" i="62"/>
  <c r="G583" i="62"/>
  <c r="F583" i="62"/>
  <c r="P582" i="62"/>
  <c r="O582" i="62"/>
  <c r="N582" i="62"/>
  <c r="M582" i="62"/>
  <c r="J582" i="62"/>
  <c r="G582" i="62"/>
  <c r="F582" i="62"/>
  <c r="P581" i="62"/>
  <c r="O581" i="62"/>
  <c r="N581" i="62"/>
  <c r="M581" i="62"/>
  <c r="J581" i="62"/>
  <c r="G581" i="62"/>
  <c r="F581" i="62"/>
  <c r="P580" i="62"/>
  <c r="O580" i="62"/>
  <c r="N580" i="62"/>
  <c r="M580" i="62"/>
  <c r="J580" i="62"/>
  <c r="G580" i="62"/>
  <c r="F580" i="62"/>
  <c r="P579" i="62"/>
  <c r="O579" i="62"/>
  <c r="N579" i="62"/>
  <c r="M579" i="62"/>
  <c r="J579" i="62"/>
  <c r="G579" i="62"/>
  <c r="F579" i="62"/>
  <c r="P578" i="62"/>
  <c r="O578" i="62"/>
  <c r="N578" i="62"/>
  <c r="M578" i="62"/>
  <c r="J578" i="62"/>
  <c r="G578" i="62"/>
  <c r="F578" i="62"/>
  <c r="P577" i="62"/>
  <c r="O577" i="62"/>
  <c r="N577" i="62"/>
  <c r="M577" i="62"/>
  <c r="J577" i="62"/>
  <c r="G577" i="62"/>
  <c r="F577" i="62"/>
  <c r="P576" i="62"/>
  <c r="O576" i="62"/>
  <c r="N576" i="62"/>
  <c r="M576" i="62"/>
  <c r="J576" i="62"/>
  <c r="G576" i="62"/>
  <c r="F576" i="62"/>
  <c r="P575" i="62"/>
  <c r="O575" i="62"/>
  <c r="N575" i="62"/>
  <c r="M575" i="62"/>
  <c r="J575" i="62"/>
  <c r="G575" i="62"/>
  <c r="F575" i="62"/>
  <c r="P574" i="62"/>
  <c r="O574" i="62"/>
  <c r="N574" i="62"/>
  <c r="M574" i="62"/>
  <c r="J574" i="62"/>
  <c r="G574" i="62"/>
  <c r="F574" i="62"/>
  <c r="P573" i="62"/>
  <c r="O573" i="62"/>
  <c r="N573" i="62"/>
  <c r="M573" i="62"/>
  <c r="J573" i="62"/>
  <c r="G573" i="62"/>
  <c r="F573" i="62"/>
  <c r="P572" i="62"/>
  <c r="O572" i="62"/>
  <c r="N572" i="62"/>
  <c r="M572" i="62"/>
  <c r="J572" i="62"/>
  <c r="G572" i="62"/>
  <c r="F572" i="62"/>
  <c r="P571" i="62"/>
  <c r="O571" i="62"/>
  <c r="N571" i="62"/>
  <c r="M571" i="62"/>
  <c r="J571" i="62"/>
  <c r="G571" i="62"/>
  <c r="F571" i="62"/>
  <c r="P570" i="62"/>
  <c r="O570" i="62"/>
  <c r="N570" i="62"/>
  <c r="M570" i="62"/>
  <c r="J570" i="62"/>
  <c r="G570" i="62"/>
  <c r="F570" i="62"/>
  <c r="P569" i="62"/>
  <c r="O569" i="62"/>
  <c r="N569" i="62"/>
  <c r="M569" i="62"/>
  <c r="J569" i="62"/>
  <c r="G569" i="62"/>
  <c r="F569" i="62"/>
  <c r="P568" i="62"/>
  <c r="O568" i="62"/>
  <c r="N568" i="62"/>
  <c r="M568" i="62"/>
  <c r="J568" i="62"/>
  <c r="G568" i="62"/>
  <c r="F568" i="62"/>
  <c r="P567" i="62"/>
  <c r="O567" i="62"/>
  <c r="N567" i="62"/>
  <c r="M567" i="62"/>
  <c r="J567" i="62"/>
  <c r="G567" i="62"/>
  <c r="F567" i="62"/>
  <c r="P566" i="62"/>
  <c r="O566" i="62"/>
  <c r="N566" i="62"/>
  <c r="M566" i="62"/>
  <c r="J566" i="62"/>
  <c r="G566" i="62"/>
  <c r="F566" i="62"/>
  <c r="P565" i="62"/>
  <c r="O565" i="62"/>
  <c r="N565" i="62"/>
  <c r="M565" i="62"/>
  <c r="J565" i="62"/>
  <c r="G565" i="62"/>
  <c r="F565" i="62"/>
  <c r="P564" i="62"/>
  <c r="O564" i="62"/>
  <c r="N564" i="62"/>
  <c r="M564" i="62"/>
  <c r="J564" i="62"/>
  <c r="G564" i="62"/>
  <c r="F564" i="62"/>
  <c r="P563" i="62"/>
  <c r="O563" i="62"/>
  <c r="N563" i="62"/>
  <c r="M563" i="62"/>
  <c r="J563" i="62"/>
  <c r="G563" i="62"/>
  <c r="F563" i="62"/>
  <c r="P562" i="62"/>
  <c r="O562" i="62"/>
  <c r="N562" i="62"/>
  <c r="M562" i="62"/>
  <c r="J562" i="62"/>
  <c r="G562" i="62"/>
  <c r="F562" i="62"/>
  <c r="P561" i="62"/>
  <c r="O561" i="62"/>
  <c r="N561" i="62"/>
  <c r="M561" i="62"/>
  <c r="J561" i="62"/>
  <c r="G561" i="62"/>
  <c r="F561" i="62"/>
  <c r="P560" i="62"/>
  <c r="O560" i="62"/>
  <c r="N560" i="62"/>
  <c r="M560" i="62"/>
  <c r="J560" i="62"/>
  <c r="G560" i="62"/>
  <c r="F560" i="62"/>
  <c r="P559" i="62"/>
  <c r="O559" i="62"/>
  <c r="N559" i="62"/>
  <c r="M559" i="62"/>
  <c r="J559" i="62"/>
  <c r="G559" i="62"/>
  <c r="F559" i="62"/>
  <c r="P558" i="62"/>
  <c r="O558" i="62"/>
  <c r="N558" i="62"/>
  <c r="M558" i="62"/>
  <c r="J558" i="62"/>
  <c r="G558" i="62"/>
  <c r="F558" i="62"/>
  <c r="P557" i="62"/>
  <c r="O557" i="62"/>
  <c r="N557" i="62"/>
  <c r="M557" i="62"/>
  <c r="J557" i="62"/>
  <c r="G557" i="62"/>
  <c r="F557" i="62"/>
  <c r="P556" i="62"/>
  <c r="O556" i="62"/>
  <c r="N556" i="62"/>
  <c r="M556" i="62"/>
  <c r="J556" i="62"/>
  <c r="G556" i="62"/>
  <c r="F556" i="62"/>
  <c r="P555" i="62"/>
  <c r="O555" i="62"/>
  <c r="N555" i="62"/>
  <c r="M555" i="62"/>
  <c r="J555" i="62"/>
  <c r="G555" i="62"/>
  <c r="F555" i="62"/>
  <c r="P554" i="62"/>
  <c r="O554" i="62"/>
  <c r="N554" i="62"/>
  <c r="M554" i="62"/>
  <c r="J554" i="62"/>
  <c r="G554" i="62"/>
  <c r="F554" i="62"/>
  <c r="P553" i="62"/>
  <c r="O553" i="62"/>
  <c r="N553" i="62"/>
  <c r="M553" i="62"/>
  <c r="J553" i="62"/>
  <c r="G553" i="62"/>
  <c r="F553" i="62"/>
  <c r="P552" i="62"/>
  <c r="O552" i="62"/>
  <c r="N552" i="62"/>
  <c r="M552" i="62"/>
  <c r="J552" i="62"/>
  <c r="G552" i="62"/>
  <c r="F552" i="62"/>
  <c r="P551" i="62"/>
  <c r="O551" i="62"/>
  <c r="N551" i="62"/>
  <c r="M551" i="62"/>
  <c r="J551" i="62"/>
  <c r="G551" i="62"/>
  <c r="F551" i="62"/>
  <c r="P550" i="62"/>
  <c r="O550" i="62"/>
  <c r="N550" i="62"/>
  <c r="M550" i="62"/>
  <c r="J550" i="62"/>
  <c r="G550" i="62"/>
  <c r="F550" i="62"/>
  <c r="P549" i="62"/>
  <c r="O549" i="62"/>
  <c r="N549" i="62"/>
  <c r="M549" i="62"/>
  <c r="J549" i="62"/>
  <c r="G549" i="62"/>
  <c r="F549" i="62"/>
  <c r="P548" i="62"/>
  <c r="O548" i="62"/>
  <c r="N548" i="62"/>
  <c r="M548" i="62"/>
  <c r="J548" i="62"/>
  <c r="G548" i="62"/>
  <c r="F548" i="62"/>
  <c r="P547" i="62"/>
  <c r="O547" i="62"/>
  <c r="N547" i="62"/>
  <c r="M547" i="62"/>
  <c r="J547" i="62"/>
  <c r="G547" i="62"/>
  <c r="F547" i="62"/>
  <c r="P546" i="62"/>
  <c r="O546" i="62"/>
  <c r="N546" i="62"/>
  <c r="M546" i="62"/>
  <c r="J546" i="62"/>
  <c r="G546" i="62"/>
  <c r="F546" i="62"/>
  <c r="P545" i="62"/>
  <c r="O545" i="62"/>
  <c r="N545" i="62"/>
  <c r="M545" i="62"/>
  <c r="J545" i="62"/>
  <c r="G545" i="62"/>
  <c r="F545" i="62"/>
  <c r="P544" i="62"/>
  <c r="O544" i="62"/>
  <c r="N544" i="62"/>
  <c r="M544" i="62"/>
  <c r="J544" i="62"/>
  <c r="G544" i="62"/>
  <c r="F544" i="62"/>
  <c r="P543" i="62"/>
  <c r="O543" i="62"/>
  <c r="N543" i="62"/>
  <c r="M543" i="62"/>
  <c r="J543" i="62"/>
  <c r="G543" i="62"/>
  <c r="F543" i="62"/>
  <c r="P542" i="62"/>
  <c r="O542" i="62"/>
  <c r="N542" i="62"/>
  <c r="M542" i="62"/>
  <c r="J542" i="62"/>
  <c r="G542" i="62"/>
  <c r="F542" i="62"/>
  <c r="P541" i="62"/>
  <c r="O541" i="62"/>
  <c r="N541" i="62"/>
  <c r="M541" i="62"/>
  <c r="J541" i="62"/>
  <c r="G541" i="62"/>
  <c r="F541" i="62"/>
  <c r="P540" i="62"/>
  <c r="O540" i="62"/>
  <c r="N540" i="62"/>
  <c r="M540" i="62"/>
  <c r="J540" i="62"/>
  <c r="G540" i="62"/>
  <c r="F540" i="62"/>
  <c r="P539" i="62"/>
  <c r="O539" i="62"/>
  <c r="N539" i="62"/>
  <c r="M539" i="62"/>
  <c r="J539" i="62"/>
  <c r="G539" i="62"/>
  <c r="F539" i="62"/>
  <c r="P538" i="62"/>
  <c r="O538" i="62"/>
  <c r="N538" i="62"/>
  <c r="M538" i="62"/>
  <c r="J538" i="62"/>
  <c r="G538" i="62"/>
  <c r="F538" i="62"/>
  <c r="P537" i="62"/>
  <c r="O537" i="62"/>
  <c r="N537" i="62"/>
  <c r="M537" i="62"/>
  <c r="J537" i="62"/>
  <c r="G537" i="62"/>
  <c r="F537" i="62"/>
  <c r="P536" i="62"/>
  <c r="O536" i="62"/>
  <c r="N536" i="62"/>
  <c r="M536" i="62"/>
  <c r="J536" i="62"/>
  <c r="G536" i="62"/>
  <c r="F536" i="62"/>
  <c r="P535" i="62"/>
  <c r="O535" i="62"/>
  <c r="N535" i="62"/>
  <c r="M535" i="62"/>
  <c r="J535" i="62"/>
  <c r="G535" i="62"/>
  <c r="F535" i="62"/>
  <c r="P534" i="62"/>
  <c r="O534" i="62"/>
  <c r="N534" i="62"/>
  <c r="M534" i="62"/>
  <c r="J534" i="62"/>
  <c r="G534" i="62"/>
  <c r="F534" i="62"/>
  <c r="P533" i="62"/>
  <c r="O533" i="62"/>
  <c r="N533" i="62"/>
  <c r="M533" i="62"/>
  <c r="J533" i="62"/>
  <c r="G533" i="62"/>
  <c r="F533" i="62"/>
  <c r="P532" i="62"/>
  <c r="O532" i="62"/>
  <c r="N532" i="62"/>
  <c r="M532" i="62"/>
  <c r="J532" i="62"/>
  <c r="G532" i="62"/>
  <c r="F532" i="62"/>
  <c r="P531" i="62"/>
  <c r="O531" i="62"/>
  <c r="N531" i="62"/>
  <c r="M531" i="62"/>
  <c r="J531" i="62"/>
  <c r="G531" i="62"/>
  <c r="F531" i="62"/>
  <c r="P530" i="62"/>
  <c r="O530" i="62"/>
  <c r="N530" i="62"/>
  <c r="M530" i="62"/>
  <c r="J530" i="62"/>
  <c r="G530" i="62"/>
  <c r="F530" i="62"/>
  <c r="P529" i="62"/>
  <c r="O529" i="62"/>
  <c r="N529" i="62"/>
  <c r="M529" i="62"/>
  <c r="J529" i="62"/>
  <c r="G529" i="62"/>
  <c r="F529" i="62"/>
  <c r="P528" i="62"/>
  <c r="O528" i="62"/>
  <c r="N528" i="62"/>
  <c r="M528" i="62"/>
  <c r="J528" i="62"/>
  <c r="G528" i="62"/>
  <c r="F528" i="62"/>
  <c r="P527" i="62"/>
  <c r="O527" i="62"/>
  <c r="N527" i="62"/>
  <c r="M527" i="62"/>
  <c r="J527" i="62"/>
  <c r="G527" i="62"/>
  <c r="F527" i="62"/>
  <c r="P526" i="62"/>
  <c r="O526" i="62"/>
  <c r="N526" i="62"/>
  <c r="M526" i="62"/>
  <c r="J526" i="62"/>
  <c r="G526" i="62"/>
  <c r="F526" i="62"/>
  <c r="P525" i="62"/>
  <c r="O525" i="62"/>
  <c r="N525" i="62"/>
  <c r="M525" i="62"/>
  <c r="J525" i="62"/>
  <c r="G525" i="62"/>
  <c r="F525" i="62"/>
  <c r="P524" i="62"/>
  <c r="O524" i="62"/>
  <c r="N524" i="62"/>
  <c r="M524" i="62"/>
  <c r="J524" i="62"/>
  <c r="G524" i="62"/>
  <c r="F524" i="62"/>
  <c r="P523" i="62"/>
  <c r="O523" i="62"/>
  <c r="N523" i="62"/>
  <c r="M523" i="62"/>
  <c r="J523" i="62"/>
  <c r="G523" i="62"/>
  <c r="F523" i="62"/>
  <c r="P522" i="62"/>
  <c r="O522" i="62"/>
  <c r="N522" i="62"/>
  <c r="M522" i="62"/>
  <c r="J522" i="62"/>
  <c r="G522" i="62"/>
  <c r="F522" i="62"/>
  <c r="P521" i="62"/>
  <c r="O521" i="62"/>
  <c r="N521" i="62"/>
  <c r="M521" i="62"/>
  <c r="J521" i="62"/>
  <c r="G521" i="62"/>
  <c r="F521" i="62"/>
  <c r="P520" i="62"/>
  <c r="O520" i="62"/>
  <c r="N520" i="62"/>
  <c r="M520" i="62"/>
  <c r="J520" i="62"/>
  <c r="G520" i="62"/>
  <c r="F520" i="62"/>
  <c r="P519" i="62"/>
  <c r="O519" i="62"/>
  <c r="N519" i="62"/>
  <c r="M519" i="62"/>
  <c r="J519" i="62"/>
  <c r="G519" i="62"/>
  <c r="F519" i="62"/>
  <c r="P518" i="62"/>
  <c r="O518" i="62"/>
  <c r="N518" i="62"/>
  <c r="M518" i="62"/>
  <c r="J518" i="62"/>
  <c r="G518" i="62"/>
  <c r="F518" i="62"/>
  <c r="P517" i="62"/>
  <c r="O517" i="62"/>
  <c r="N517" i="62"/>
  <c r="M517" i="62"/>
  <c r="J517" i="62"/>
  <c r="G517" i="62"/>
  <c r="F517" i="62"/>
  <c r="P516" i="62"/>
  <c r="O516" i="62"/>
  <c r="N516" i="62"/>
  <c r="M516" i="62"/>
  <c r="J516" i="62"/>
  <c r="G516" i="62"/>
  <c r="F516" i="62"/>
  <c r="P515" i="62"/>
  <c r="O515" i="62"/>
  <c r="N515" i="62"/>
  <c r="M515" i="62"/>
  <c r="J515" i="62"/>
  <c r="G515" i="62"/>
  <c r="F515" i="62"/>
  <c r="P514" i="62"/>
  <c r="O514" i="62"/>
  <c r="N514" i="62"/>
  <c r="M514" i="62"/>
  <c r="J514" i="62"/>
  <c r="G514" i="62"/>
  <c r="F514" i="62"/>
  <c r="P513" i="62"/>
  <c r="O513" i="62"/>
  <c r="N513" i="62"/>
  <c r="M513" i="62"/>
  <c r="J513" i="62"/>
  <c r="G513" i="62"/>
  <c r="F513" i="62"/>
  <c r="P512" i="62"/>
  <c r="O512" i="62"/>
  <c r="N512" i="62"/>
  <c r="M512" i="62"/>
  <c r="J512" i="62"/>
  <c r="G512" i="62"/>
  <c r="F512" i="62"/>
  <c r="P511" i="62"/>
  <c r="O511" i="62"/>
  <c r="N511" i="62"/>
  <c r="M511" i="62"/>
  <c r="J511" i="62"/>
  <c r="G511" i="62"/>
  <c r="F511" i="62"/>
  <c r="P510" i="62"/>
  <c r="O510" i="62"/>
  <c r="N510" i="62"/>
  <c r="M510" i="62"/>
  <c r="J510" i="62"/>
  <c r="G510" i="62"/>
  <c r="F510" i="62"/>
  <c r="P509" i="62"/>
  <c r="O509" i="62"/>
  <c r="N509" i="62"/>
  <c r="M509" i="62"/>
  <c r="J509" i="62"/>
  <c r="G509" i="62"/>
  <c r="F509" i="62"/>
  <c r="P508" i="62"/>
  <c r="O508" i="62"/>
  <c r="N508" i="62"/>
  <c r="M508" i="62"/>
  <c r="J508" i="62"/>
  <c r="G508" i="62"/>
  <c r="F508" i="62"/>
  <c r="P507" i="62"/>
  <c r="O507" i="62"/>
  <c r="N507" i="62"/>
  <c r="M507" i="62"/>
  <c r="J507" i="62"/>
  <c r="G507" i="62"/>
  <c r="F507" i="62"/>
  <c r="P506" i="62"/>
  <c r="O506" i="62"/>
  <c r="N506" i="62"/>
  <c r="M506" i="62"/>
  <c r="J506" i="62"/>
  <c r="G506" i="62"/>
  <c r="F506" i="62"/>
  <c r="P505" i="62"/>
  <c r="O505" i="62"/>
  <c r="N505" i="62"/>
  <c r="M505" i="62"/>
  <c r="J505" i="62"/>
  <c r="G505" i="62"/>
  <c r="F505" i="62"/>
  <c r="P504" i="62"/>
  <c r="O504" i="62"/>
  <c r="N504" i="62"/>
  <c r="M504" i="62"/>
  <c r="J504" i="62"/>
  <c r="G504" i="62"/>
  <c r="F504" i="62"/>
  <c r="P503" i="62"/>
  <c r="O503" i="62"/>
  <c r="N503" i="62"/>
  <c r="M503" i="62"/>
  <c r="J503" i="62"/>
  <c r="G503" i="62"/>
  <c r="F503" i="62"/>
  <c r="P502" i="62"/>
  <c r="O502" i="62"/>
  <c r="N502" i="62"/>
  <c r="M502" i="62"/>
  <c r="J502" i="62"/>
  <c r="G502" i="62"/>
  <c r="F502" i="62"/>
  <c r="P501" i="62"/>
  <c r="O501" i="62"/>
  <c r="N501" i="62"/>
  <c r="M501" i="62"/>
  <c r="J501" i="62"/>
  <c r="G501" i="62"/>
  <c r="F501" i="62"/>
  <c r="P500" i="62"/>
  <c r="O500" i="62"/>
  <c r="N500" i="62"/>
  <c r="M500" i="62"/>
  <c r="J500" i="62"/>
  <c r="G500" i="62"/>
  <c r="F500" i="62"/>
  <c r="P499" i="62"/>
  <c r="O499" i="62"/>
  <c r="N499" i="62"/>
  <c r="M499" i="62"/>
  <c r="J499" i="62"/>
  <c r="G499" i="62"/>
  <c r="F499" i="62"/>
  <c r="P498" i="62"/>
  <c r="O498" i="62"/>
  <c r="N498" i="62"/>
  <c r="M498" i="62"/>
  <c r="J498" i="62"/>
  <c r="G498" i="62"/>
  <c r="F498" i="62"/>
  <c r="P497" i="62"/>
  <c r="O497" i="62"/>
  <c r="N497" i="62"/>
  <c r="M497" i="62"/>
  <c r="J497" i="62"/>
  <c r="G497" i="62"/>
  <c r="F497" i="62"/>
  <c r="P496" i="62"/>
  <c r="O496" i="62"/>
  <c r="N496" i="62"/>
  <c r="M496" i="62"/>
  <c r="J496" i="62"/>
  <c r="G496" i="62"/>
  <c r="F496" i="62"/>
  <c r="P495" i="62"/>
  <c r="O495" i="62"/>
  <c r="N495" i="62"/>
  <c r="M495" i="62"/>
  <c r="J495" i="62"/>
  <c r="G495" i="62"/>
  <c r="F495" i="62"/>
  <c r="P494" i="62"/>
  <c r="O494" i="62"/>
  <c r="N494" i="62"/>
  <c r="M494" i="62"/>
  <c r="J494" i="62"/>
  <c r="G494" i="62"/>
  <c r="F494" i="62"/>
  <c r="P493" i="62"/>
  <c r="O493" i="62"/>
  <c r="N493" i="62"/>
  <c r="M493" i="62"/>
  <c r="J493" i="62"/>
  <c r="G493" i="62"/>
  <c r="F493" i="62"/>
  <c r="P492" i="62"/>
  <c r="O492" i="62"/>
  <c r="N492" i="62"/>
  <c r="M492" i="62"/>
  <c r="J492" i="62"/>
  <c r="G492" i="62"/>
  <c r="F492" i="62"/>
  <c r="P491" i="62"/>
  <c r="O491" i="62"/>
  <c r="N491" i="62"/>
  <c r="M491" i="62"/>
  <c r="J491" i="62"/>
  <c r="G491" i="62"/>
  <c r="F491" i="62"/>
  <c r="P490" i="62"/>
  <c r="O490" i="62"/>
  <c r="N490" i="62"/>
  <c r="M490" i="62"/>
  <c r="J490" i="62"/>
  <c r="G490" i="62"/>
  <c r="F490" i="62"/>
  <c r="P489" i="62"/>
  <c r="O489" i="62"/>
  <c r="N489" i="62"/>
  <c r="M489" i="62"/>
  <c r="J489" i="62"/>
  <c r="G489" i="62"/>
  <c r="F489" i="62"/>
  <c r="P488" i="62"/>
  <c r="O488" i="62"/>
  <c r="N488" i="62"/>
  <c r="M488" i="62"/>
  <c r="J488" i="62"/>
  <c r="G488" i="62"/>
  <c r="F488" i="62"/>
  <c r="P487" i="62"/>
  <c r="O487" i="62"/>
  <c r="N487" i="62"/>
  <c r="M487" i="62"/>
  <c r="J487" i="62"/>
  <c r="G487" i="62"/>
  <c r="F487" i="62"/>
  <c r="P486" i="62"/>
  <c r="O486" i="62"/>
  <c r="N486" i="62"/>
  <c r="M486" i="62"/>
  <c r="J486" i="62"/>
  <c r="G486" i="62"/>
  <c r="F486" i="62"/>
  <c r="P485" i="62"/>
  <c r="O485" i="62"/>
  <c r="N485" i="62"/>
  <c r="M485" i="62"/>
  <c r="J485" i="62"/>
  <c r="G485" i="62"/>
  <c r="F485" i="62"/>
  <c r="P484" i="62"/>
  <c r="O484" i="62"/>
  <c r="N484" i="62"/>
  <c r="M484" i="62"/>
  <c r="J484" i="62"/>
  <c r="G484" i="62"/>
  <c r="F484" i="62"/>
  <c r="P483" i="62"/>
  <c r="O483" i="62"/>
  <c r="N483" i="62"/>
  <c r="M483" i="62"/>
  <c r="J483" i="62"/>
  <c r="G483" i="62"/>
  <c r="F483" i="62"/>
  <c r="P482" i="62"/>
  <c r="O482" i="62"/>
  <c r="N482" i="62"/>
  <c r="M482" i="62"/>
  <c r="J482" i="62"/>
  <c r="G482" i="62"/>
  <c r="F482" i="62"/>
  <c r="P481" i="62"/>
  <c r="O481" i="62"/>
  <c r="N481" i="62"/>
  <c r="M481" i="62"/>
  <c r="J481" i="62"/>
  <c r="G481" i="62"/>
  <c r="F481" i="62"/>
  <c r="P480" i="62"/>
  <c r="O480" i="62"/>
  <c r="N480" i="62"/>
  <c r="M480" i="62"/>
  <c r="J480" i="62"/>
  <c r="G480" i="62"/>
  <c r="F480" i="62"/>
  <c r="P479" i="62"/>
  <c r="O479" i="62"/>
  <c r="N479" i="62"/>
  <c r="M479" i="62"/>
  <c r="J479" i="62"/>
  <c r="G479" i="62"/>
  <c r="F479" i="62"/>
  <c r="P478" i="62"/>
  <c r="O478" i="62"/>
  <c r="N478" i="62"/>
  <c r="M478" i="62"/>
  <c r="J478" i="62"/>
  <c r="G478" i="62"/>
  <c r="F478" i="62"/>
  <c r="P477" i="62"/>
  <c r="O477" i="62"/>
  <c r="N477" i="62"/>
  <c r="M477" i="62"/>
  <c r="J477" i="62"/>
  <c r="G477" i="62"/>
  <c r="F477" i="62"/>
  <c r="P476" i="62"/>
  <c r="O476" i="62"/>
  <c r="N476" i="62"/>
  <c r="M476" i="62"/>
  <c r="J476" i="62"/>
  <c r="G476" i="62"/>
  <c r="F476" i="62"/>
  <c r="P475" i="62"/>
  <c r="O475" i="62"/>
  <c r="N475" i="62"/>
  <c r="M475" i="62"/>
  <c r="J475" i="62"/>
  <c r="G475" i="62"/>
  <c r="F475" i="62"/>
  <c r="P474" i="62"/>
  <c r="O474" i="62"/>
  <c r="N474" i="62"/>
  <c r="M474" i="62"/>
  <c r="J474" i="62"/>
  <c r="G474" i="62"/>
  <c r="F474" i="62"/>
  <c r="P473" i="62"/>
  <c r="O473" i="62"/>
  <c r="N473" i="62"/>
  <c r="M473" i="62"/>
  <c r="J473" i="62"/>
  <c r="G473" i="62"/>
  <c r="F473" i="62"/>
  <c r="P472" i="62"/>
  <c r="O472" i="62"/>
  <c r="N472" i="62"/>
  <c r="M472" i="62"/>
  <c r="J472" i="62"/>
  <c r="G472" i="62"/>
  <c r="F472" i="62"/>
  <c r="P471" i="62"/>
  <c r="O471" i="62"/>
  <c r="N471" i="62"/>
  <c r="M471" i="62"/>
  <c r="J471" i="62"/>
  <c r="G471" i="62"/>
  <c r="F471" i="62"/>
  <c r="P470" i="62"/>
  <c r="O470" i="62"/>
  <c r="N470" i="62"/>
  <c r="M470" i="62"/>
  <c r="J470" i="62"/>
  <c r="G470" i="62"/>
  <c r="F470" i="62"/>
  <c r="P469" i="62"/>
  <c r="O469" i="62"/>
  <c r="N469" i="62"/>
  <c r="M469" i="62"/>
  <c r="J469" i="62"/>
  <c r="G469" i="62"/>
  <c r="F469" i="62"/>
  <c r="P468" i="62"/>
  <c r="O468" i="62"/>
  <c r="N468" i="62"/>
  <c r="M468" i="62"/>
  <c r="J468" i="62"/>
  <c r="G468" i="62"/>
  <c r="F468" i="62"/>
  <c r="P467" i="62"/>
  <c r="O467" i="62"/>
  <c r="N467" i="62"/>
  <c r="M467" i="62"/>
  <c r="J467" i="62"/>
  <c r="G467" i="62"/>
  <c r="F467" i="62"/>
  <c r="P466" i="62"/>
  <c r="O466" i="62"/>
  <c r="N466" i="62"/>
  <c r="M466" i="62"/>
  <c r="J466" i="62"/>
  <c r="G466" i="62"/>
  <c r="F466" i="62"/>
  <c r="P465" i="62"/>
  <c r="O465" i="62"/>
  <c r="N465" i="62"/>
  <c r="M465" i="62"/>
  <c r="J465" i="62"/>
  <c r="G465" i="62"/>
  <c r="F465" i="62"/>
  <c r="P464" i="62"/>
  <c r="O464" i="62"/>
  <c r="N464" i="62"/>
  <c r="M464" i="62"/>
  <c r="J464" i="62"/>
  <c r="G464" i="62"/>
  <c r="F464" i="62"/>
  <c r="P463" i="62"/>
  <c r="O463" i="62"/>
  <c r="N463" i="62"/>
  <c r="M463" i="62"/>
  <c r="J463" i="62"/>
  <c r="G463" i="62"/>
  <c r="F463" i="62"/>
  <c r="P462" i="62"/>
  <c r="O462" i="62"/>
  <c r="N462" i="62"/>
  <c r="M462" i="62"/>
  <c r="J462" i="62"/>
  <c r="G462" i="62"/>
  <c r="F462" i="62"/>
  <c r="P461" i="62"/>
  <c r="O461" i="62"/>
  <c r="N461" i="62"/>
  <c r="M461" i="62"/>
  <c r="J461" i="62"/>
  <c r="G461" i="62"/>
  <c r="F461" i="62"/>
  <c r="P460" i="62"/>
  <c r="O460" i="62"/>
  <c r="N460" i="62"/>
  <c r="M460" i="62"/>
  <c r="J460" i="62"/>
  <c r="G460" i="62"/>
  <c r="F460" i="62"/>
  <c r="P459" i="62"/>
  <c r="O459" i="62"/>
  <c r="N459" i="62"/>
  <c r="M459" i="62"/>
  <c r="J459" i="62"/>
  <c r="G459" i="62"/>
  <c r="F459" i="62"/>
  <c r="P458" i="62"/>
  <c r="O458" i="62"/>
  <c r="N458" i="62"/>
  <c r="M458" i="62"/>
  <c r="J458" i="62"/>
  <c r="G458" i="62"/>
  <c r="F458" i="62"/>
  <c r="P457" i="62"/>
  <c r="O457" i="62"/>
  <c r="N457" i="62"/>
  <c r="M457" i="62"/>
  <c r="J457" i="62"/>
  <c r="G457" i="62"/>
  <c r="F457" i="62"/>
  <c r="P456" i="62"/>
  <c r="O456" i="62"/>
  <c r="N456" i="62"/>
  <c r="M456" i="62"/>
  <c r="J456" i="62"/>
  <c r="G456" i="62"/>
  <c r="F456" i="62"/>
  <c r="P455" i="62"/>
  <c r="O455" i="62"/>
  <c r="N455" i="62"/>
  <c r="M455" i="62"/>
  <c r="J455" i="62"/>
  <c r="G455" i="62"/>
  <c r="F455" i="62"/>
  <c r="P454" i="62"/>
  <c r="O454" i="62"/>
  <c r="N454" i="62"/>
  <c r="M454" i="62"/>
  <c r="J454" i="62"/>
  <c r="G454" i="62"/>
  <c r="F454" i="62"/>
  <c r="P453" i="62"/>
  <c r="O453" i="62"/>
  <c r="N453" i="62"/>
  <c r="M453" i="62"/>
  <c r="J453" i="62"/>
  <c r="G453" i="62"/>
  <c r="F453" i="62"/>
  <c r="P452" i="62"/>
  <c r="O452" i="62"/>
  <c r="N452" i="62"/>
  <c r="M452" i="62"/>
  <c r="J452" i="62"/>
  <c r="G452" i="62"/>
  <c r="F452" i="62"/>
  <c r="P451" i="62"/>
  <c r="O451" i="62"/>
  <c r="N451" i="62"/>
  <c r="M451" i="62"/>
  <c r="J451" i="62"/>
  <c r="G451" i="62"/>
  <c r="F451" i="62"/>
  <c r="P450" i="62"/>
  <c r="O450" i="62"/>
  <c r="N450" i="62"/>
  <c r="M450" i="62"/>
  <c r="J450" i="62"/>
  <c r="G450" i="62"/>
  <c r="F450" i="62"/>
  <c r="P449" i="62"/>
  <c r="O449" i="62"/>
  <c r="N449" i="62"/>
  <c r="M449" i="62"/>
  <c r="J449" i="62"/>
  <c r="G449" i="62"/>
  <c r="F449" i="62"/>
  <c r="P448" i="62"/>
  <c r="O448" i="62"/>
  <c r="N448" i="62"/>
  <c r="M448" i="62"/>
  <c r="J448" i="62"/>
  <c r="G448" i="62"/>
  <c r="F448" i="62"/>
  <c r="P447" i="62"/>
  <c r="O447" i="62"/>
  <c r="N447" i="62"/>
  <c r="M447" i="62"/>
  <c r="J447" i="62"/>
  <c r="G447" i="62"/>
  <c r="F447" i="62"/>
  <c r="P446" i="62"/>
  <c r="O446" i="62"/>
  <c r="N446" i="62"/>
  <c r="M446" i="62"/>
  <c r="J446" i="62"/>
  <c r="G446" i="62"/>
  <c r="F446" i="62"/>
  <c r="P445" i="62"/>
  <c r="O445" i="62"/>
  <c r="N445" i="62"/>
  <c r="M445" i="62"/>
  <c r="J445" i="62"/>
  <c r="G445" i="62"/>
  <c r="F445" i="62"/>
  <c r="P444" i="62"/>
  <c r="O444" i="62"/>
  <c r="N444" i="62"/>
  <c r="M444" i="62"/>
  <c r="J444" i="62"/>
  <c r="G444" i="62"/>
  <c r="F444" i="62"/>
  <c r="P443" i="62"/>
  <c r="O443" i="62"/>
  <c r="N443" i="62"/>
  <c r="M443" i="62"/>
  <c r="J443" i="62"/>
  <c r="G443" i="62"/>
  <c r="F443" i="62"/>
  <c r="P442" i="62"/>
  <c r="O442" i="62"/>
  <c r="N442" i="62"/>
  <c r="M442" i="62"/>
  <c r="J442" i="62"/>
  <c r="G442" i="62"/>
  <c r="F442" i="62"/>
  <c r="P441" i="62"/>
  <c r="O441" i="62"/>
  <c r="N441" i="62"/>
  <c r="M441" i="62"/>
  <c r="J441" i="62"/>
  <c r="G441" i="62"/>
  <c r="F441" i="62"/>
  <c r="P440" i="62"/>
  <c r="O440" i="62"/>
  <c r="N440" i="62"/>
  <c r="M440" i="62"/>
  <c r="J440" i="62"/>
  <c r="G440" i="62"/>
  <c r="F440" i="62"/>
  <c r="P439" i="62"/>
  <c r="O439" i="62"/>
  <c r="N439" i="62"/>
  <c r="M439" i="62"/>
  <c r="J439" i="62"/>
  <c r="G439" i="62"/>
  <c r="F439" i="62"/>
  <c r="P438" i="62"/>
  <c r="O438" i="62"/>
  <c r="N438" i="62"/>
  <c r="M438" i="62"/>
  <c r="J438" i="62"/>
  <c r="G438" i="62"/>
  <c r="F438" i="62"/>
  <c r="P437" i="62"/>
  <c r="O437" i="62"/>
  <c r="N437" i="62"/>
  <c r="M437" i="62"/>
  <c r="J437" i="62"/>
  <c r="G437" i="62"/>
  <c r="F437" i="62"/>
  <c r="P436" i="62"/>
  <c r="O436" i="62"/>
  <c r="N436" i="62"/>
  <c r="M436" i="62"/>
  <c r="J436" i="62"/>
  <c r="G436" i="62"/>
  <c r="F436" i="62"/>
  <c r="P435" i="62"/>
  <c r="O435" i="62"/>
  <c r="N435" i="62"/>
  <c r="M435" i="62"/>
  <c r="J435" i="62"/>
  <c r="G435" i="62"/>
  <c r="F435" i="62"/>
  <c r="P434" i="62"/>
  <c r="O434" i="62"/>
  <c r="N434" i="62"/>
  <c r="M434" i="62"/>
  <c r="J434" i="62"/>
  <c r="G434" i="62"/>
  <c r="F434" i="62"/>
  <c r="P433" i="62"/>
  <c r="O433" i="62"/>
  <c r="N433" i="62"/>
  <c r="M433" i="62"/>
  <c r="J433" i="62"/>
  <c r="G433" i="62"/>
  <c r="F433" i="62"/>
  <c r="P432" i="62"/>
  <c r="O432" i="62"/>
  <c r="N432" i="62"/>
  <c r="M432" i="62"/>
  <c r="J432" i="62"/>
  <c r="G432" i="62"/>
  <c r="F432" i="62"/>
  <c r="P431" i="62"/>
  <c r="O431" i="62"/>
  <c r="N431" i="62"/>
  <c r="M431" i="62"/>
  <c r="J431" i="62"/>
  <c r="G431" i="62"/>
  <c r="F431" i="62"/>
  <c r="P430" i="62"/>
  <c r="O430" i="62"/>
  <c r="N430" i="62"/>
  <c r="M430" i="62"/>
  <c r="J430" i="62"/>
  <c r="G430" i="62"/>
  <c r="F430" i="62"/>
  <c r="P429" i="62"/>
  <c r="O429" i="62"/>
  <c r="N429" i="62"/>
  <c r="M429" i="62"/>
  <c r="J429" i="62"/>
  <c r="G429" i="62"/>
  <c r="F429" i="62"/>
  <c r="P428" i="62"/>
  <c r="O428" i="62"/>
  <c r="N428" i="62"/>
  <c r="M428" i="62"/>
  <c r="J428" i="62"/>
  <c r="G428" i="62"/>
  <c r="F428" i="62"/>
  <c r="P427" i="62"/>
  <c r="O427" i="62"/>
  <c r="N427" i="62"/>
  <c r="M427" i="62"/>
  <c r="J427" i="62"/>
  <c r="G427" i="62"/>
  <c r="F427" i="62"/>
  <c r="P426" i="62"/>
  <c r="O426" i="62"/>
  <c r="N426" i="62"/>
  <c r="M426" i="62"/>
  <c r="J426" i="62"/>
  <c r="G426" i="62"/>
  <c r="F426" i="62"/>
  <c r="P425" i="62"/>
  <c r="O425" i="62"/>
  <c r="N425" i="62"/>
  <c r="M425" i="62"/>
  <c r="J425" i="62"/>
  <c r="G425" i="62"/>
  <c r="F425" i="62"/>
  <c r="P424" i="62"/>
  <c r="O424" i="62"/>
  <c r="N424" i="62"/>
  <c r="M424" i="62"/>
  <c r="J424" i="62"/>
  <c r="G424" i="62"/>
  <c r="F424" i="62"/>
  <c r="P423" i="62"/>
  <c r="O423" i="62"/>
  <c r="N423" i="62"/>
  <c r="M423" i="62"/>
  <c r="J423" i="62"/>
  <c r="G423" i="62"/>
  <c r="F423" i="62"/>
  <c r="P422" i="62"/>
  <c r="O422" i="62"/>
  <c r="N422" i="62"/>
  <c r="M422" i="62"/>
  <c r="J422" i="62"/>
  <c r="G422" i="62"/>
  <c r="F422" i="62"/>
  <c r="P421" i="62"/>
  <c r="O421" i="62"/>
  <c r="N421" i="62"/>
  <c r="M421" i="62"/>
  <c r="J421" i="62"/>
  <c r="G421" i="62"/>
  <c r="F421" i="62"/>
  <c r="P420" i="62"/>
  <c r="O420" i="62"/>
  <c r="N420" i="62"/>
  <c r="M420" i="62"/>
  <c r="J420" i="62"/>
  <c r="G420" i="62"/>
  <c r="F420" i="62"/>
  <c r="P419" i="62"/>
  <c r="O419" i="62"/>
  <c r="N419" i="62"/>
  <c r="M419" i="62"/>
  <c r="J419" i="62"/>
  <c r="G419" i="62"/>
  <c r="F419" i="62"/>
  <c r="P418" i="62"/>
  <c r="O418" i="62"/>
  <c r="N418" i="62"/>
  <c r="M418" i="62"/>
  <c r="J418" i="62"/>
  <c r="G418" i="62"/>
  <c r="F418" i="62"/>
  <c r="P417" i="62"/>
  <c r="O417" i="62"/>
  <c r="N417" i="62"/>
  <c r="M417" i="62"/>
  <c r="J417" i="62"/>
  <c r="G417" i="62"/>
  <c r="F417" i="62"/>
  <c r="P416" i="62"/>
  <c r="O416" i="62"/>
  <c r="N416" i="62"/>
  <c r="M416" i="62"/>
  <c r="J416" i="62"/>
  <c r="G416" i="62"/>
  <c r="F416" i="62"/>
  <c r="P415" i="62"/>
  <c r="O415" i="62"/>
  <c r="N415" i="62"/>
  <c r="M415" i="62"/>
  <c r="J415" i="62"/>
  <c r="G415" i="62"/>
  <c r="F415" i="62"/>
  <c r="P414" i="62"/>
  <c r="O414" i="62"/>
  <c r="N414" i="62"/>
  <c r="M414" i="62"/>
  <c r="J414" i="62"/>
  <c r="G414" i="62"/>
  <c r="F414" i="62"/>
  <c r="P413" i="62"/>
  <c r="O413" i="62"/>
  <c r="N413" i="62"/>
  <c r="M413" i="62"/>
  <c r="J413" i="62"/>
  <c r="G413" i="62"/>
  <c r="F413" i="62"/>
  <c r="P412" i="62"/>
  <c r="O412" i="62"/>
  <c r="N412" i="62"/>
  <c r="M412" i="62"/>
  <c r="J412" i="62"/>
  <c r="G412" i="62"/>
  <c r="F412" i="62"/>
  <c r="P411" i="62"/>
  <c r="O411" i="62"/>
  <c r="N411" i="62"/>
  <c r="M411" i="62"/>
  <c r="J411" i="62"/>
  <c r="G411" i="62"/>
  <c r="F411" i="62"/>
  <c r="P410" i="62"/>
  <c r="O410" i="62"/>
  <c r="N410" i="62"/>
  <c r="M410" i="62"/>
  <c r="J410" i="62"/>
  <c r="G410" i="62"/>
  <c r="F410" i="62"/>
  <c r="P409" i="62"/>
  <c r="O409" i="62"/>
  <c r="N409" i="62"/>
  <c r="M409" i="62"/>
  <c r="J409" i="62"/>
  <c r="G409" i="62"/>
  <c r="F409" i="62"/>
  <c r="P408" i="62"/>
  <c r="O408" i="62"/>
  <c r="N408" i="62"/>
  <c r="M408" i="62"/>
  <c r="J408" i="62"/>
  <c r="G408" i="62"/>
  <c r="F408" i="62"/>
  <c r="P407" i="62"/>
  <c r="O407" i="62"/>
  <c r="N407" i="62"/>
  <c r="M407" i="62"/>
  <c r="J407" i="62"/>
  <c r="G407" i="62"/>
  <c r="F407" i="62"/>
  <c r="P406" i="62"/>
  <c r="O406" i="62"/>
  <c r="N406" i="62"/>
  <c r="M406" i="62"/>
  <c r="J406" i="62"/>
  <c r="G406" i="62"/>
  <c r="F406" i="62"/>
  <c r="P405" i="62"/>
  <c r="O405" i="62"/>
  <c r="N405" i="62"/>
  <c r="M405" i="62"/>
  <c r="J405" i="62"/>
  <c r="G405" i="62"/>
  <c r="F405" i="62"/>
  <c r="P404" i="62"/>
  <c r="O404" i="62"/>
  <c r="N404" i="62"/>
  <c r="M404" i="62"/>
  <c r="J404" i="62"/>
  <c r="G404" i="62"/>
  <c r="F404" i="62"/>
  <c r="P403" i="62"/>
  <c r="O403" i="62"/>
  <c r="N403" i="62"/>
  <c r="M403" i="62"/>
  <c r="J403" i="62"/>
  <c r="G403" i="62"/>
  <c r="F403" i="62"/>
  <c r="P402" i="62"/>
  <c r="O402" i="62"/>
  <c r="N402" i="62"/>
  <c r="M402" i="62"/>
  <c r="J402" i="62"/>
  <c r="G402" i="62"/>
  <c r="F402" i="62"/>
  <c r="P401" i="62"/>
  <c r="O401" i="62"/>
  <c r="N401" i="62"/>
  <c r="M401" i="62"/>
  <c r="J401" i="62"/>
  <c r="G401" i="62"/>
  <c r="F401" i="62"/>
  <c r="P400" i="62"/>
  <c r="O400" i="62"/>
  <c r="N400" i="62"/>
  <c r="M400" i="62"/>
  <c r="J400" i="62"/>
  <c r="G400" i="62"/>
  <c r="F400" i="62"/>
  <c r="P399" i="62"/>
  <c r="O399" i="62"/>
  <c r="N399" i="62"/>
  <c r="M399" i="62"/>
  <c r="J399" i="62"/>
  <c r="G399" i="62"/>
  <c r="F399" i="62"/>
  <c r="P398" i="62"/>
  <c r="O398" i="62"/>
  <c r="N398" i="62"/>
  <c r="M398" i="62"/>
  <c r="J398" i="62"/>
  <c r="G398" i="62"/>
  <c r="F398" i="62"/>
  <c r="P397" i="62"/>
  <c r="O397" i="62"/>
  <c r="N397" i="62"/>
  <c r="M397" i="62"/>
  <c r="J397" i="62"/>
  <c r="G397" i="62"/>
  <c r="F397" i="62"/>
  <c r="P396" i="62"/>
  <c r="O396" i="62"/>
  <c r="N396" i="62"/>
  <c r="M396" i="62"/>
  <c r="J396" i="62"/>
  <c r="G396" i="62"/>
  <c r="F396" i="62"/>
  <c r="P395" i="62"/>
  <c r="O395" i="62"/>
  <c r="N395" i="62"/>
  <c r="M395" i="62"/>
  <c r="J395" i="62"/>
  <c r="G395" i="62"/>
  <c r="F395" i="62"/>
  <c r="P394" i="62"/>
  <c r="O394" i="62"/>
  <c r="N394" i="62"/>
  <c r="M394" i="62"/>
  <c r="J394" i="62"/>
  <c r="G394" i="62"/>
  <c r="F394" i="62"/>
  <c r="P393" i="62"/>
  <c r="O393" i="62"/>
  <c r="N393" i="62"/>
  <c r="M393" i="62"/>
  <c r="J393" i="62"/>
  <c r="G393" i="62"/>
  <c r="F393" i="62"/>
  <c r="P392" i="62"/>
  <c r="O392" i="62"/>
  <c r="N392" i="62"/>
  <c r="M392" i="62"/>
  <c r="J392" i="62"/>
  <c r="G392" i="62"/>
  <c r="F392" i="62"/>
  <c r="P391" i="62"/>
  <c r="O391" i="62"/>
  <c r="N391" i="62"/>
  <c r="M391" i="62"/>
  <c r="J391" i="62"/>
  <c r="G391" i="62"/>
  <c r="F391" i="62"/>
  <c r="P390" i="62"/>
  <c r="O390" i="62"/>
  <c r="N390" i="62"/>
  <c r="M390" i="62"/>
  <c r="J390" i="62"/>
  <c r="G390" i="62"/>
  <c r="F390" i="62"/>
  <c r="P389" i="62"/>
  <c r="O389" i="62"/>
  <c r="N389" i="62"/>
  <c r="M389" i="62"/>
  <c r="J389" i="62"/>
  <c r="G389" i="62"/>
  <c r="F389" i="62"/>
  <c r="P388" i="62"/>
  <c r="O388" i="62"/>
  <c r="N388" i="62"/>
  <c r="M388" i="62"/>
  <c r="J388" i="62"/>
  <c r="G388" i="62"/>
  <c r="F388" i="62"/>
  <c r="P387" i="62"/>
  <c r="O387" i="62"/>
  <c r="N387" i="62"/>
  <c r="M387" i="62"/>
  <c r="J387" i="62"/>
  <c r="G387" i="62"/>
  <c r="F387" i="62"/>
  <c r="P386" i="62"/>
  <c r="O386" i="62"/>
  <c r="N386" i="62"/>
  <c r="M386" i="62"/>
  <c r="J386" i="62"/>
  <c r="G386" i="62"/>
  <c r="F386" i="62"/>
  <c r="P385" i="62"/>
  <c r="O385" i="62"/>
  <c r="N385" i="62"/>
  <c r="M385" i="62"/>
  <c r="J385" i="62"/>
  <c r="G385" i="62"/>
  <c r="F385" i="62"/>
  <c r="P384" i="62"/>
  <c r="O384" i="62"/>
  <c r="N384" i="62"/>
  <c r="M384" i="62"/>
  <c r="J384" i="62"/>
  <c r="G384" i="62"/>
  <c r="F384" i="62"/>
  <c r="P383" i="62"/>
  <c r="O383" i="62"/>
  <c r="N383" i="62"/>
  <c r="M383" i="62"/>
  <c r="J383" i="62"/>
  <c r="G383" i="62"/>
  <c r="F383" i="62"/>
  <c r="P382" i="62"/>
  <c r="O382" i="62"/>
  <c r="N382" i="62"/>
  <c r="M382" i="62"/>
  <c r="J382" i="62"/>
  <c r="G382" i="62"/>
  <c r="F382" i="62"/>
  <c r="P381" i="62"/>
  <c r="O381" i="62"/>
  <c r="N381" i="62"/>
  <c r="M381" i="62"/>
  <c r="J381" i="62"/>
  <c r="G381" i="62"/>
  <c r="F381" i="62"/>
  <c r="P380" i="62"/>
  <c r="O380" i="62"/>
  <c r="N380" i="62"/>
  <c r="M380" i="62"/>
  <c r="J380" i="62"/>
  <c r="G380" i="62"/>
  <c r="F380" i="62"/>
  <c r="P379" i="62"/>
  <c r="O379" i="62"/>
  <c r="N379" i="62"/>
  <c r="M379" i="62"/>
  <c r="J379" i="62"/>
  <c r="G379" i="62"/>
  <c r="F379" i="62"/>
  <c r="P378" i="62"/>
  <c r="O378" i="62"/>
  <c r="N378" i="62"/>
  <c r="M378" i="62"/>
  <c r="J378" i="62"/>
  <c r="G378" i="62"/>
  <c r="F378" i="62"/>
  <c r="P377" i="62"/>
  <c r="O377" i="62"/>
  <c r="N377" i="62"/>
  <c r="M377" i="62"/>
  <c r="J377" i="62"/>
  <c r="G377" i="62"/>
  <c r="F377" i="62"/>
  <c r="P376" i="62"/>
  <c r="O376" i="62"/>
  <c r="N376" i="62"/>
  <c r="M376" i="62"/>
  <c r="J376" i="62"/>
  <c r="G376" i="62"/>
  <c r="F376" i="62"/>
  <c r="P375" i="62"/>
  <c r="O375" i="62"/>
  <c r="N375" i="62"/>
  <c r="M375" i="62"/>
  <c r="J375" i="62"/>
  <c r="G375" i="62"/>
  <c r="F375" i="62"/>
  <c r="P374" i="62"/>
  <c r="O374" i="62"/>
  <c r="N374" i="62"/>
  <c r="M374" i="62"/>
  <c r="J374" i="62"/>
  <c r="G374" i="62"/>
  <c r="F374" i="62"/>
  <c r="P373" i="62"/>
  <c r="O373" i="62"/>
  <c r="N373" i="62"/>
  <c r="M373" i="62"/>
  <c r="J373" i="62"/>
  <c r="G373" i="62"/>
  <c r="F373" i="62"/>
  <c r="P372" i="62"/>
  <c r="O372" i="62"/>
  <c r="N372" i="62"/>
  <c r="M372" i="62"/>
  <c r="J372" i="62"/>
  <c r="G372" i="62"/>
  <c r="F372" i="62"/>
  <c r="P371" i="62"/>
  <c r="O371" i="62"/>
  <c r="N371" i="62"/>
  <c r="M371" i="62"/>
  <c r="J371" i="62"/>
  <c r="G371" i="62"/>
  <c r="F371" i="62"/>
  <c r="P370" i="62"/>
  <c r="O370" i="62"/>
  <c r="N370" i="62"/>
  <c r="M370" i="62"/>
  <c r="J370" i="62"/>
  <c r="G370" i="62"/>
  <c r="F370" i="62"/>
  <c r="P369" i="62"/>
  <c r="O369" i="62"/>
  <c r="N369" i="62"/>
  <c r="M369" i="62"/>
  <c r="J369" i="62"/>
  <c r="G369" i="62"/>
  <c r="F369" i="62"/>
  <c r="P368" i="62"/>
  <c r="O368" i="62"/>
  <c r="N368" i="62"/>
  <c r="M368" i="62"/>
  <c r="J368" i="62"/>
  <c r="G368" i="62"/>
  <c r="F368" i="62"/>
  <c r="P367" i="62"/>
  <c r="O367" i="62"/>
  <c r="N367" i="62"/>
  <c r="M367" i="62"/>
  <c r="J367" i="62"/>
  <c r="G367" i="62"/>
  <c r="F367" i="62"/>
  <c r="P366" i="62"/>
  <c r="O366" i="62"/>
  <c r="N366" i="62"/>
  <c r="M366" i="62"/>
  <c r="J366" i="62"/>
  <c r="G366" i="62"/>
  <c r="F366" i="62"/>
  <c r="P365" i="62"/>
  <c r="O365" i="62"/>
  <c r="N365" i="62"/>
  <c r="M365" i="62"/>
  <c r="J365" i="62"/>
  <c r="G365" i="62"/>
  <c r="F365" i="62"/>
  <c r="P364" i="62"/>
  <c r="O364" i="62"/>
  <c r="N364" i="62"/>
  <c r="M364" i="62"/>
  <c r="J364" i="62"/>
  <c r="G364" i="62"/>
  <c r="F364" i="62"/>
  <c r="P363" i="62"/>
  <c r="O363" i="62"/>
  <c r="N363" i="62"/>
  <c r="M363" i="62"/>
  <c r="J363" i="62"/>
  <c r="G363" i="62"/>
  <c r="F363" i="62"/>
  <c r="P362" i="62"/>
  <c r="O362" i="62"/>
  <c r="N362" i="62"/>
  <c r="M362" i="62"/>
  <c r="J362" i="62"/>
  <c r="G362" i="62"/>
  <c r="F362" i="62"/>
  <c r="P361" i="62"/>
  <c r="O361" i="62"/>
  <c r="N361" i="62"/>
  <c r="M361" i="62"/>
  <c r="J361" i="62"/>
  <c r="G361" i="62"/>
  <c r="F361" i="62"/>
  <c r="P360" i="62"/>
  <c r="O360" i="62"/>
  <c r="N360" i="62"/>
  <c r="M360" i="62"/>
  <c r="J360" i="62"/>
  <c r="G360" i="62"/>
  <c r="F360" i="62"/>
  <c r="P359" i="62"/>
  <c r="O359" i="62"/>
  <c r="N359" i="62"/>
  <c r="M359" i="62"/>
  <c r="J359" i="62"/>
  <c r="G359" i="62"/>
  <c r="F359" i="62"/>
  <c r="P358" i="62"/>
  <c r="O358" i="62"/>
  <c r="N358" i="62"/>
  <c r="M358" i="62"/>
  <c r="J358" i="62"/>
  <c r="G358" i="62"/>
  <c r="F358" i="62"/>
  <c r="P357" i="62"/>
  <c r="O357" i="62"/>
  <c r="N357" i="62"/>
  <c r="M357" i="62"/>
  <c r="J357" i="62"/>
  <c r="G357" i="62"/>
  <c r="F357" i="62"/>
  <c r="P356" i="62"/>
  <c r="O356" i="62"/>
  <c r="N356" i="62"/>
  <c r="M356" i="62"/>
  <c r="J356" i="62"/>
  <c r="G356" i="62"/>
  <c r="F356" i="62"/>
  <c r="P355" i="62"/>
  <c r="O355" i="62"/>
  <c r="N355" i="62"/>
  <c r="M355" i="62"/>
  <c r="J355" i="62"/>
  <c r="G355" i="62"/>
  <c r="F355" i="62"/>
  <c r="P354" i="62"/>
  <c r="O354" i="62"/>
  <c r="N354" i="62"/>
  <c r="M354" i="62"/>
  <c r="J354" i="62"/>
  <c r="G354" i="62"/>
  <c r="F354" i="62"/>
  <c r="P353" i="62"/>
  <c r="O353" i="62"/>
  <c r="N353" i="62"/>
  <c r="M353" i="62"/>
  <c r="J353" i="62"/>
  <c r="G353" i="62"/>
  <c r="F353" i="62"/>
  <c r="P352" i="62"/>
  <c r="O352" i="62"/>
  <c r="N352" i="62"/>
  <c r="M352" i="62"/>
  <c r="J352" i="62"/>
  <c r="G352" i="62"/>
  <c r="F352" i="62"/>
  <c r="P351" i="62"/>
  <c r="O351" i="62"/>
  <c r="N351" i="62"/>
  <c r="M351" i="62"/>
  <c r="J351" i="62"/>
  <c r="G351" i="62"/>
  <c r="F351" i="62"/>
  <c r="P350" i="62"/>
  <c r="O350" i="62"/>
  <c r="N350" i="62"/>
  <c r="M350" i="62"/>
  <c r="J350" i="62"/>
  <c r="G350" i="62"/>
  <c r="F350" i="62"/>
  <c r="P349" i="62"/>
  <c r="O349" i="62"/>
  <c r="N349" i="62"/>
  <c r="M349" i="62"/>
  <c r="J349" i="62"/>
  <c r="G349" i="62"/>
  <c r="F349" i="62"/>
  <c r="P348" i="62"/>
  <c r="O348" i="62"/>
  <c r="N348" i="62"/>
  <c r="M348" i="62"/>
  <c r="J348" i="62"/>
  <c r="G348" i="62"/>
  <c r="F348" i="62"/>
  <c r="P347" i="62"/>
  <c r="O347" i="62"/>
  <c r="N347" i="62"/>
  <c r="M347" i="62"/>
  <c r="J347" i="62"/>
  <c r="G347" i="62"/>
  <c r="F347" i="62"/>
  <c r="P346" i="62"/>
  <c r="O346" i="62"/>
  <c r="N346" i="62"/>
  <c r="M346" i="62"/>
  <c r="J346" i="62"/>
  <c r="G346" i="62"/>
  <c r="F346" i="62"/>
  <c r="P345" i="62"/>
  <c r="O345" i="62"/>
  <c r="N345" i="62"/>
  <c r="M345" i="62"/>
  <c r="J345" i="62"/>
  <c r="G345" i="62"/>
  <c r="F345" i="62"/>
  <c r="P344" i="62"/>
  <c r="O344" i="62"/>
  <c r="N344" i="62"/>
  <c r="M344" i="62"/>
  <c r="J344" i="62"/>
  <c r="G344" i="62"/>
  <c r="F344" i="62"/>
  <c r="P343" i="62"/>
  <c r="O343" i="62"/>
  <c r="N343" i="62"/>
  <c r="M343" i="62"/>
  <c r="J343" i="62"/>
  <c r="G343" i="62"/>
  <c r="F343" i="62"/>
  <c r="P342" i="62"/>
  <c r="O342" i="62"/>
  <c r="N342" i="62"/>
  <c r="M342" i="62"/>
  <c r="J342" i="62"/>
  <c r="G342" i="62"/>
  <c r="F342" i="62"/>
  <c r="P341" i="62"/>
  <c r="O341" i="62"/>
  <c r="N341" i="62"/>
  <c r="M341" i="62"/>
  <c r="J341" i="62"/>
  <c r="G341" i="62"/>
  <c r="F341" i="62"/>
  <c r="P340" i="62"/>
  <c r="O340" i="62"/>
  <c r="N340" i="62"/>
  <c r="M340" i="62"/>
  <c r="J340" i="62"/>
  <c r="G340" i="62"/>
  <c r="F340" i="62"/>
  <c r="P339" i="62"/>
  <c r="O339" i="62"/>
  <c r="N339" i="62"/>
  <c r="M339" i="62"/>
  <c r="J339" i="62"/>
  <c r="G339" i="62"/>
  <c r="F339" i="62"/>
  <c r="P338" i="62"/>
  <c r="O338" i="62"/>
  <c r="N338" i="62"/>
  <c r="M338" i="62"/>
  <c r="J338" i="62"/>
  <c r="G338" i="62"/>
  <c r="F338" i="62"/>
  <c r="P337" i="62"/>
  <c r="O337" i="62"/>
  <c r="N337" i="62"/>
  <c r="M337" i="62"/>
  <c r="J337" i="62"/>
  <c r="G337" i="62"/>
  <c r="F337" i="62"/>
  <c r="P336" i="62"/>
  <c r="O336" i="62"/>
  <c r="N336" i="62"/>
  <c r="M336" i="62"/>
  <c r="J336" i="62"/>
  <c r="G336" i="62"/>
  <c r="F336" i="62"/>
  <c r="P335" i="62"/>
  <c r="O335" i="62"/>
  <c r="N335" i="62"/>
  <c r="M335" i="62"/>
  <c r="J335" i="62"/>
  <c r="G335" i="62"/>
  <c r="F335" i="62"/>
  <c r="P334" i="62"/>
  <c r="O334" i="62"/>
  <c r="N334" i="62"/>
  <c r="M334" i="62"/>
  <c r="J334" i="62"/>
  <c r="G334" i="62"/>
  <c r="F334" i="62"/>
  <c r="P333" i="62"/>
  <c r="O333" i="62"/>
  <c r="N333" i="62"/>
  <c r="M333" i="62"/>
  <c r="J333" i="62"/>
  <c r="G333" i="62"/>
  <c r="F333" i="62"/>
  <c r="P332" i="62"/>
  <c r="O332" i="62"/>
  <c r="N332" i="62"/>
  <c r="M332" i="62"/>
  <c r="J332" i="62"/>
  <c r="G332" i="62"/>
  <c r="F332" i="62"/>
  <c r="P331" i="62"/>
  <c r="O331" i="62"/>
  <c r="N331" i="62"/>
  <c r="M331" i="62"/>
  <c r="J331" i="62"/>
  <c r="G331" i="62"/>
  <c r="F331" i="62"/>
  <c r="P330" i="62"/>
  <c r="O330" i="62"/>
  <c r="N330" i="62"/>
  <c r="M330" i="62"/>
  <c r="J330" i="62"/>
  <c r="G330" i="62"/>
  <c r="F330" i="62"/>
  <c r="P329" i="62"/>
  <c r="O329" i="62"/>
  <c r="N329" i="62"/>
  <c r="M329" i="62"/>
  <c r="J329" i="62"/>
  <c r="G329" i="62"/>
  <c r="F329" i="62"/>
  <c r="P328" i="62"/>
  <c r="O328" i="62"/>
  <c r="N328" i="62"/>
  <c r="M328" i="62"/>
  <c r="J328" i="62"/>
  <c r="G328" i="62"/>
  <c r="F328" i="62"/>
  <c r="P327" i="62"/>
  <c r="O327" i="62"/>
  <c r="N327" i="62"/>
  <c r="M327" i="62"/>
  <c r="J327" i="62"/>
  <c r="G327" i="62"/>
  <c r="F327" i="62"/>
  <c r="P326" i="62"/>
  <c r="O326" i="62"/>
  <c r="N326" i="62"/>
  <c r="M326" i="62"/>
  <c r="J326" i="62"/>
  <c r="G326" i="62"/>
  <c r="F326" i="62"/>
  <c r="P325" i="62"/>
  <c r="O325" i="62"/>
  <c r="N325" i="62"/>
  <c r="M325" i="62"/>
  <c r="J325" i="62"/>
  <c r="G325" i="62"/>
  <c r="F325" i="62"/>
  <c r="P324" i="62"/>
  <c r="O324" i="62"/>
  <c r="N324" i="62"/>
  <c r="M324" i="62"/>
  <c r="J324" i="62"/>
  <c r="G324" i="62"/>
  <c r="F324" i="62"/>
  <c r="P323" i="62"/>
  <c r="O323" i="62"/>
  <c r="N323" i="62"/>
  <c r="M323" i="62"/>
  <c r="J323" i="62"/>
  <c r="G323" i="62"/>
  <c r="F323" i="62"/>
  <c r="P322" i="62"/>
  <c r="O322" i="62"/>
  <c r="N322" i="62"/>
  <c r="M322" i="62"/>
  <c r="J322" i="62"/>
  <c r="G322" i="62"/>
  <c r="F322" i="62"/>
  <c r="P321" i="62"/>
  <c r="O321" i="62"/>
  <c r="N321" i="62"/>
  <c r="M321" i="62"/>
  <c r="J321" i="62"/>
  <c r="G321" i="62"/>
  <c r="F321" i="62"/>
  <c r="P320" i="62"/>
  <c r="O320" i="62"/>
  <c r="N320" i="62"/>
  <c r="M320" i="62"/>
  <c r="J320" i="62"/>
  <c r="G320" i="62"/>
  <c r="F320" i="62"/>
  <c r="P319" i="62"/>
  <c r="O319" i="62"/>
  <c r="N319" i="62"/>
  <c r="M319" i="62"/>
  <c r="J319" i="62"/>
  <c r="G319" i="62"/>
  <c r="F319" i="62"/>
  <c r="P318" i="62"/>
  <c r="O318" i="62"/>
  <c r="N318" i="62"/>
  <c r="M318" i="62"/>
  <c r="J318" i="62"/>
  <c r="G318" i="62"/>
  <c r="F318" i="62"/>
  <c r="P317" i="62"/>
  <c r="O317" i="62"/>
  <c r="N317" i="62"/>
  <c r="M317" i="62"/>
  <c r="J317" i="62"/>
  <c r="G317" i="62"/>
  <c r="F317" i="62"/>
  <c r="P316" i="62"/>
  <c r="O316" i="62"/>
  <c r="N316" i="62"/>
  <c r="M316" i="62"/>
  <c r="J316" i="62"/>
  <c r="G316" i="62"/>
  <c r="F316" i="62"/>
  <c r="P315" i="62"/>
  <c r="O315" i="62"/>
  <c r="N315" i="62"/>
  <c r="M315" i="62"/>
  <c r="J315" i="62"/>
  <c r="G315" i="62"/>
  <c r="F315" i="62"/>
  <c r="P314" i="62"/>
  <c r="O314" i="62"/>
  <c r="N314" i="62"/>
  <c r="M314" i="62"/>
  <c r="J314" i="62"/>
  <c r="G314" i="62"/>
  <c r="F314" i="62"/>
  <c r="P313" i="62"/>
  <c r="O313" i="62"/>
  <c r="N313" i="62"/>
  <c r="M313" i="62"/>
  <c r="J313" i="62"/>
  <c r="G313" i="62"/>
  <c r="F313" i="62"/>
  <c r="P312" i="62"/>
  <c r="O312" i="62"/>
  <c r="N312" i="62"/>
  <c r="M312" i="62"/>
  <c r="J312" i="62"/>
  <c r="G312" i="62"/>
  <c r="F312" i="62"/>
  <c r="P311" i="62"/>
  <c r="O311" i="62"/>
  <c r="N311" i="62"/>
  <c r="M311" i="62"/>
  <c r="J311" i="62"/>
  <c r="G311" i="62"/>
  <c r="F311" i="62"/>
  <c r="P310" i="62"/>
  <c r="O310" i="62"/>
  <c r="N310" i="62"/>
  <c r="M310" i="62"/>
  <c r="J310" i="62"/>
  <c r="G310" i="62"/>
  <c r="F310" i="62"/>
  <c r="P309" i="62"/>
  <c r="O309" i="62"/>
  <c r="N309" i="62"/>
  <c r="M309" i="62"/>
  <c r="J309" i="62"/>
  <c r="G309" i="62"/>
  <c r="F309" i="62"/>
  <c r="P308" i="62"/>
  <c r="O308" i="62"/>
  <c r="N308" i="62"/>
  <c r="M308" i="62"/>
  <c r="J308" i="62"/>
  <c r="G308" i="62"/>
  <c r="F308" i="62"/>
  <c r="P307" i="62"/>
  <c r="O307" i="62"/>
  <c r="N307" i="62"/>
  <c r="M307" i="62"/>
  <c r="J307" i="62"/>
  <c r="G307" i="62"/>
  <c r="F307" i="62"/>
  <c r="P306" i="62"/>
  <c r="O306" i="62"/>
  <c r="N306" i="62"/>
  <c r="M306" i="62"/>
  <c r="J306" i="62"/>
  <c r="G306" i="62"/>
  <c r="F306" i="62"/>
  <c r="P305" i="62"/>
  <c r="O305" i="62"/>
  <c r="N305" i="62"/>
  <c r="M305" i="62"/>
  <c r="J305" i="62"/>
  <c r="G305" i="62"/>
  <c r="F305" i="62"/>
  <c r="P304" i="62"/>
  <c r="O304" i="62"/>
  <c r="N304" i="62"/>
  <c r="M304" i="62"/>
  <c r="J304" i="62"/>
  <c r="G304" i="62"/>
  <c r="F304" i="62"/>
  <c r="P303" i="62"/>
  <c r="O303" i="62"/>
  <c r="N303" i="62"/>
  <c r="M303" i="62"/>
  <c r="J303" i="62"/>
  <c r="G303" i="62"/>
  <c r="F303" i="62"/>
  <c r="P302" i="62"/>
  <c r="O302" i="62"/>
  <c r="N302" i="62"/>
  <c r="M302" i="62"/>
  <c r="J302" i="62"/>
  <c r="G302" i="62"/>
  <c r="F302" i="62"/>
  <c r="P301" i="62"/>
  <c r="O301" i="62"/>
  <c r="N301" i="62"/>
  <c r="M301" i="62"/>
  <c r="J301" i="62"/>
  <c r="G301" i="62"/>
  <c r="F301" i="62"/>
  <c r="P300" i="62"/>
  <c r="O300" i="62"/>
  <c r="N300" i="62"/>
  <c r="M300" i="62"/>
  <c r="J300" i="62"/>
  <c r="G300" i="62"/>
  <c r="F300" i="62"/>
  <c r="P299" i="62"/>
  <c r="O299" i="62"/>
  <c r="N299" i="62"/>
  <c r="M299" i="62"/>
  <c r="J299" i="62"/>
  <c r="G299" i="62"/>
  <c r="F299" i="62"/>
  <c r="P298" i="62"/>
  <c r="O298" i="62"/>
  <c r="N298" i="62"/>
  <c r="M298" i="62"/>
  <c r="J298" i="62"/>
  <c r="G298" i="62"/>
  <c r="F298" i="62"/>
  <c r="P297" i="62"/>
  <c r="O297" i="62"/>
  <c r="N297" i="62"/>
  <c r="M297" i="62"/>
  <c r="J297" i="62"/>
  <c r="G297" i="62"/>
  <c r="F297" i="62"/>
  <c r="P296" i="62"/>
  <c r="O296" i="62"/>
  <c r="N296" i="62"/>
  <c r="M296" i="62"/>
  <c r="J296" i="62"/>
  <c r="G296" i="62"/>
  <c r="F296" i="62"/>
  <c r="P295" i="62"/>
  <c r="O295" i="62"/>
  <c r="N295" i="62"/>
  <c r="M295" i="62"/>
  <c r="J295" i="62"/>
  <c r="G295" i="62"/>
  <c r="F295" i="62"/>
  <c r="P294" i="62"/>
  <c r="O294" i="62"/>
  <c r="N294" i="62"/>
  <c r="M294" i="62"/>
  <c r="J294" i="62"/>
  <c r="G294" i="62"/>
  <c r="F294" i="62"/>
  <c r="P293" i="62"/>
  <c r="O293" i="62"/>
  <c r="N293" i="62"/>
  <c r="M293" i="62"/>
  <c r="J293" i="62"/>
  <c r="G293" i="62"/>
  <c r="F293" i="62"/>
  <c r="P292" i="62"/>
  <c r="O292" i="62"/>
  <c r="N292" i="62"/>
  <c r="M292" i="62"/>
  <c r="J292" i="62"/>
  <c r="G292" i="62"/>
  <c r="F292" i="62"/>
  <c r="P291" i="62"/>
  <c r="O291" i="62"/>
  <c r="N291" i="62"/>
  <c r="M291" i="62"/>
  <c r="J291" i="62"/>
  <c r="G291" i="62"/>
  <c r="F291" i="62"/>
  <c r="P290" i="62"/>
  <c r="O290" i="62"/>
  <c r="N290" i="62"/>
  <c r="M290" i="62"/>
  <c r="J290" i="62"/>
  <c r="G290" i="62"/>
  <c r="F290" i="62"/>
  <c r="P289" i="62"/>
  <c r="O289" i="62"/>
  <c r="N289" i="62"/>
  <c r="M289" i="62"/>
  <c r="J289" i="62"/>
  <c r="G289" i="62"/>
  <c r="F289" i="62"/>
  <c r="P288" i="62"/>
  <c r="O288" i="62"/>
  <c r="N288" i="62"/>
  <c r="M288" i="62"/>
  <c r="J288" i="62"/>
  <c r="G288" i="62"/>
  <c r="F288" i="62"/>
  <c r="P287" i="62"/>
  <c r="O287" i="62"/>
  <c r="N287" i="62"/>
  <c r="M287" i="62"/>
  <c r="J287" i="62"/>
  <c r="G287" i="62"/>
  <c r="F287" i="62"/>
  <c r="P286" i="62"/>
  <c r="O286" i="62"/>
  <c r="N286" i="62"/>
  <c r="M286" i="62"/>
  <c r="J286" i="62"/>
  <c r="G286" i="62"/>
  <c r="F286" i="62"/>
  <c r="P285" i="62"/>
  <c r="O285" i="62"/>
  <c r="N285" i="62"/>
  <c r="M285" i="62"/>
  <c r="J285" i="62"/>
  <c r="G285" i="62"/>
  <c r="F285" i="62"/>
  <c r="P284" i="62"/>
  <c r="O284" i="62"/>
  <c r="N284" i="62"/>
  <c r="M284" i="62"/>
  <c r="J284" i="62"/>
  <c r="G284" i="62"/>
  <c r="F284" i="62"/>
  <c r="P283" i="62"/>
  <c r="O283" i="62"/>
  <c r="N283" i="62"/>
  <c r="M283" i="62"/>
  <c r="J283" i="62"/>
  <c r="G283" i="62"/>
  <c r="F283" i="62"/>
  <c r="P282" i="62"/>
  <c r="O282" i="62"/>
  <c r="N282" i="62"/>
  <c r="M282" i="62"/>
  <c r="J282" i="62"/>
  <c r="G282" i="62"/>
  <c r="F282" i="62"/>
  <c r="P281" i="62"/>
  <c r="O281" i="62"/>
  <c r="N281" i="62"/>
  <c r="M281" i="62"/>
  <c r="J281" i="62"/>
  <c r="G281" i="62"/>
  <c r="F281" i="62"/>
  <c r="P280" i="62"/>
  <c r="O280" i="62"/>
  <c r="N280" i="62"/>
  <c r="M280" i="62"/>
  <c r="J280" i="62"/>
  <c r="G280" i="62"/>
  <c r="F280" i="62"/>
  <c r="P279" i="62"/>
  <c r="O279" i="62"/>
  <c r="N279" i="62"/>
  <c r="M279" i="62"/>
  <c r="J279" i="62"/>
  <c r="G279" i="62"/>
  <c r="F279" i="62"/>
  <c r="P278" i="62"/>
  <c r="O278" i="62"/>
  <c r="N278" i="62"/>
  <c r="M278" i="62"/>
  <c r="J278" i="62"/>
  <c r="G278" i="62"/>
  <c r="F278" i="62"/>
  <c r="P277" i="62"/>
  <c r="O277" i="62"/>
  <c r="N277" i="62"/>
  <c r="M277" i="62"/>
  <c r="J277" i="62"/>
  <c r="G277" i="62"/>
  <c r="F277" i="62"/>
  <c r="P276" i="62"/>
  <c r="O276" i="62"/>
  <c r="N276" i="62"/>
  <c r="M276" i="62"/>
  <c r="J276" i="62"/>
  <c r="G276" i="62"/>
  <c r="F276" i="62"/>
  <c r="P275" i="62"/>
  <c r="O275" i="62"/>
  <c r="N275" i="62"/>
  <c r="M275" i="62"/>
  <c r="J275" i="62"/>
  <c r="G275" i="62"/>
  <c r="F275" i="62"/>
  <c r="P274" i="62"/>
  <c r="O274" i="62"/>
  <c r="N274" i="62"/>
  <c r="M274" i="62"/>
  <c r="J274" i="62"/>
  <c r="G274" i="62"/>
  <c r="F274" i="62"/>
  <c r="P273" i="62"/>
  <c r="O273" i="62"/>
  <c r="N273" i="62"/>
  <c r="M273" i="62"/>
  <c r="J273" i="62"/>
  <c r="G273" i="62"/>
  <c r="F273" i="62"/>
  <c r="P272" i="62"/>
  <c r="O272" i="62"/>
  <c r="N272" i="62"/>
  <c r="M272" i="62"/>
  <c r="J272" i="62"/>
  <c r="G272" i="62"/>
  <c r="F272" i="62"/>
  <c r="P271" i="62"/>
  <c r="O271" i="62"/>
  <c r="N271" i="62"/>
  <c r="M271" i="62"/>
  <c r="J271" i="62"/>
  <c r="G271" i="62"/>
  <c r="F271" i="62"/>
  <c r="P270" i="62"/>
  <c r="O270" i="62"/>
  <c r="N270" i="62"/>
  <c r="M270" i="62"/>
  <c r="J270" i="62"/>
  <c r="G270" i="62"/>
  <c r="F270" i="62"/>
  <c r="P269" i="62"/>
  <c r="O269" i="62"/>
  <c r="N269" i="62"/>
  <c r="M269" i="62"/>
  <c r="J269" i="62"/>
  <c r="G269" i="62"/>
  <c r="F269" i="62"/>
  <c r="P268" i="62"/>
  <c r="O268" i="62"/>
  <c r="N268" i="62"/>
  <c r="M268" i="62"/>
  <c r="J268" i="62"/>
  <c r="G268" i="62"/>
  <c r="F268" i="62"/>
  <c r="P267" i="62"/>
  <c r="O267" i="62"/>
  <c r="N267" i="62"/>
  <c r="M267" i="62"/>
  <c r="J267" i="62"/>
  <c r="G267" i="62"/>
  <c r="F267" i="62"/>
  <c r="P266" i="62"/>
  <c r="O266" i="62"/>
  <c r="N266" i="62"/>
  <c r="M266" i="62"/>
  <c r="J266" i="62"/>
  <c r="G266" i="62"/>
  <c r="F266" i="62"/>
  <c r="P265" i="62"/>
  <c r="O265" i="62"/>
  <c r="N265" i="62"/>
  <c r="M265" i="62"/>
  <c r="J265" i="62"/>
  <c r="G265" i="62"/>
  <c r="F265" i="62"/>
  <c r="P264" i="62"/>
  <c r="O264" i="62"/>
  <c r="N264" i="62"/>
  <c r="M264" i="62"/>
  <c r="J264" i="62"/>
  <c r="G264" i="62"/>
  <c r="F264" i="62"/>
  <c r="P263" i="62"/>
  <c r="O263" i="62"/>
  <c r="N263" i="62"/>
  <c r="M263" i="62"/>
  <c r="J263" i="62"/>
  <c r="G263" i="62"/>
  <c r="F263" i="62"/>
  <c r="P262" i="62"/>
  <c r="O262" i="62"/>
  <c r="N262" i="62"/>
  <c r="M262" i="62"/>
  <c r="J262" i="62"/>
  <c r="G262" i="62"/>
  <c r="F262" i="62"/>
  <c r="P261" i="62"/>
  <c r="O261" i="62"/>
  <c r="N261" i="62"/>
  <c r="M261" i="62"/>
  <c r="J261" i="62"/>
  <c r="G261" i="62"/>
  <c r="F261" i="62"/>
  <c r="P260" i="62"/>
  <c r="O260" i="62"/>
  <c r="N260" i="62"/>
  <c r="M260" i="62"/>
  <c r="J260" i="62"/>
  <c r="G260" i="62"/>
  <c r="F260" i="62"/>
  <c r="P259" i="62"/>
  <c r="O259" i="62"/>
  <c r="N259" i="62"/>
  <c r="M259" i="62"/>
  <c r="J259" i="62"/>
  <c r="G259" i="62"/>
  <c r="F259" i="62"/>
  <c r="P258" i="62"/>
  <c r="O258" i="62"/>
  <c r="N258" i="62"/>
  <c r="M258" i="62"/>
  <c r="J258" i="62"/>
  <c r="G258" i="62"/>
  <c r="F258" i="62"/>
  <c r="P257" i="62"/>
  <c r="O257" i="62"/>
  <c r="N257" i="62"/>
  <c r="M257" i="62"/>
  <c r="J257" i="62"/>
  <c r="G257" i="62"/>
  <c r="F257" i="62"/>
  <c r="P256" i="62"/>
  <c r="O256" i="62"/>
  <c r="N256" i="62"/>
  <c r="M256" i="62"/>
  <c r="J256" i="62"/>
  <c r="G256" i="62"/>
  <c r="F256" i="62"/>
  <c r="P255" i="62"/>
  <c r="O255" i="62"/>
  <c r="N255" i="62"/>
  <c r="M255" i="62"/>
  <c r="J255" i="62"/>
  <c r="G255" i="62"/>
  <c r="F255" i="62"/>
  <c r="P254" i="62"/>
  <c r="O254" i="62"/>
  <c r="N254" i="62"/>
  <c r="M254" i="62"/>
  <c r="J254" i="62"/>
  <c r="G254" i="62"/>
  <c r="F254" i="62"/>
  <c r="P253" i="62"/>
  <c r="O253" i="62"/>
  <c r="N253" i="62"/>
  <c r="M253" i="62"/>
  <c r="J253" i="62"/>
  <c r="G253" i="62"/>
  <c r="F253" i="62"/>
  <c r="P252" i="62"/>
  <c r="O252" i="62"/>
  <c r="N252" i="62"/>
  <c r="M252" i="62"/>
  <c r="J252" i="62"/>
  <c r="G252" i="62"/>
  <c r="F252" i="62"/>
  <c r="P251" i="62"/>
  <c r="O251" i="62"/>
  <c r="N251" i="62"/>
  <c r="M251" i="62"/>
  <c r="J251" i="62"/>
  <c r="G251" i="62"/>
  <c r="F251" i="62"/>
  <c r="P250" i="62"/>
  <c r="O250" i="62"/>
  <c r="N250" i="62"/>
  <c r="M250" i="62"/>
  <c r="J250" i="62"/>
  <c r="G250" i="62"/>
  <c r="F250" i="62"/>
  <c r="P249" i="62"/>
  <c r="O249" i="62"/>
  <c r="N249" i="62"/>
  <c r="M249" i="62"/>
  <c r="J249" i="62"/>
  <c r="G249" i="62"/>
  <c r="F249" i="62"/>
  <c r="P248" i="62"/>
  <c r="O248" i="62"/>
  <c r="N248" i="62"/>
  <c r="M248" i="62"/>
  <c r="J248" i="62"/>
  <c r="G248" i="62"/>
  <c r="F248" i="62"/>
  <c r="P247" i="62"/>
  <c r="O247" i="62"/>
  <c r="N247" i="62"/>
  <c r="M247" i="62"/>
  <c r="J247" i="62"/>
  <c r="G247" i="62"/>
  <c r="F247" i="62"/>
  <c r="P246" i="62"/>
  <c r="O246" i="62"/>
  <c r="N246" i="62"/>
  <c r="M246" i="62"/>
  <c r="J246" i="62"/>
  <c r="G246" i="62"/>
  <c r="F246" i="62"/>
  <c r="P245" i="62"/>
  <c r="O245" i="62"/>
  <c r="N245" i="62"/>
  <c r="M245" i="62"/>
  <c r="J245" i="62"/>
  <c r="G245" i="62"/>
  <c r="F245" i="62"/>
  <c r="P244" i="62"/>
  <c r="O244" i="62"/>
  <c r="N244" i="62"/>
  <c r="M244" i="62"/>
  <c r="J244" i="62"/>
  <c r="G244" i="62"/>
  <c r="F244" i="62"/>
  <c r="P243" i="62"/>
  <c r="O243" i="62"/>
  <c r="N243" i="62"/>
  <c r="M243" i="62"/>
  <c r="J243" i="62"/>
  <c r="G243" i="62"/>
  <c r="F243" i="62"/>
  <c r="P242" i="62"/>
  <c r="O242" i="62"/>
  <c r="N242" i="62"/>
  <c r="M242" i="62"/>
  <c r="J242" i="62"/>
  <c r="G242" i="62"/>
  <c r="F242" i="62"/>
  <c r="P241" i="62"/>
  <c r="O241" i="62"/>
  <c r="N241" i="62"/>
  <c r="M241" i="62"/>
  <c r="J241" i="62"/>
  <c r="G241" i="62"/>
  <c r="F241" i="62"/>
  <c r="P240" i="62"/>
  <c r="O240" i="62"/>
  <c r="N240" i="62"/>
  <c r="M240" i="62"/>
  <c r="J240" i="62"/>
  <c r="G240" i="62"/>
  <c r="F240" i="62"/>
  <c r="P239" i="62"/>
  <c r="O239" i="62"/>
  <c r="N239" i="62"/>
  <c r="M239" i="62"/>
  <c r="J239" i="62"/>
  <c r="G239" i="62"/>
  <c r="F239" i="62"/>
  <c r="P238" i="62"/>
  <c r="O238" i="62"/>
  <c r="N238" i="62"/>
  <c r="M238" i="62"/>
  <c r="J238" i="62"/>
  <c r="G238" i="62"/>
  <c r="F238" i="62"/>
  <c r="P237" i="62"/>
  <c r="O237" i="62"/>
  <c r="N237" i="62"/>
  <c r="M237" i="62"/>
  <c r="J237" i="62"/>
  <c r="G237" i="62"/>
  <c r="F237" i="62"/>
  <c r="P236" i="62"/>
  <c r="O236" i="62"/>
  <c r="N236" i="62"/>
  <c r="M236" i="62"/>
  <c r="J236" i="62"/>
  <c r="G236" i="62"/>
  <c r="F236" i="62"/>
  <c r="P235" i="62"/>
  <c r="O235" i="62"/>
  <c r="N235" i="62"/>
  <c r="M235" i="62"/>
  <c r="J235" i="62"/>
  <c r="G235" i="62"/>
  <c r="F235" i="62"/>
  <c r="P234" i="62"/>
  <c r="O234" i="62"/>
  <c r="N234" i="62"/>
  <c r="M234" i="62"/>
  <c r="J234" i="62"/>
  <c r="G234" i="62"/>
  <c r="F234" i="62"/>
  <c r="P233" i="62"/>
  <c r="O233" i="62"/>
  <c r="N233" i="62"/>
  <c r="M233" i="62"/>
  <c r="J233" i="62"/>
  <c r="G233" i="62"/>
  <c r="F233" i="62"/>
  <c r="P232" i="62"/>
  <c r="O232" i="62"/>
  <c r="N232" i="62"/>
  <c r="M232" i="62"/>
  <c r="J232" i="62"/>
  <c r="G232" i="62"/>
  <c r="F232" i="62"/>
  <c r="P231" i="62"/>
  <c r="O231" i="62"/>
  <c r="N231" i="62"/>
  <c r="M231" i="62"/>
  <c r="J231" i="62"/>
  <c r="G231" i="62"/>
  <c r="F231" i="62"/>
  <c r="P230" i="62"/>
  <c r="O230" i="62"/>
  <c r="N230" i="62"/>
  <c r="M230" i="62"/>
  <c r="J230" i="62"/>
  <c r="G230" i="62"/>
  <c r="F230" i="62"/>
  <c r="P229" i="62"/>
  <c r="O229" i="62"/>
  <c r="N229" i="62"/>
  <c r="M229" i="62"/>
  <c r="J229" i="62"/>
  <c r="G229" i="62"/>
  <c r="F229" i="62"/>
  <c r="P228" i="62"/>
  <c r="O228" i="62"/>
  <c r="N228" i="62"/>
  <c r="M228" i="62"/>
  <c r="J228" i="62"/>
  <c r="G228" i="62"/>
  <c r="F228" i="62"/>
  <c r="P227" i="62"/>
  <c r="O227" i="62"/>
  <c r="N227" i="62"/>
  <c r="M227" i="62"/>
  <c r="J227" i="62"/>
  <c r="G227" i="62"/>
  <c r="F227" i="62"/>
  <c r="P226" i="62"/>
  <c r="O226" i="62"/>
  <c r="N226" i="62"/>
  <c r="M226" i="62"/>
  <c r="J226" i="62"/>
  <c r="G226" i="62"/>
  <c r="F226" i="62"/>
  <c r="P225" i="62"/>
  <c r="O225" i="62"/>
  <c r="N225" i="62"/>
  <c r="M225" i="62"/>
  <c r="J225" i="62"/>
  <c r="G225" i="62"/>
  <c r="F225" i="62"/>
  <c r="P224" i="62"/>
  <c r="O224" i="62"/>
  <c r="N224" i="62"/>
  <c r="M224" i="62"/>
  <c r="J224" i="62"/>
  <c r="G224" i="62"/>
  <c r="F224" i="62"/>
  <c r="P223" i="62"/>
  <c r="O223" i="62"/>
  <c r="N223" i="62"/>
  <c r="M223" i="62"/>
  <c r="J223" i="62"/>
  <c r="G223" i="62"/>
  <c r="F223" i="62"/>
  <c r="P222" i="62"/>
  <c r="O222" i="62"/>
  <c r="N222" i="62"/>
  <c r="M222" i="62"/>
  <c r="J222" i="62"/>
  <c r="G222" i="62"/>
  <c r="F222" i="62"/>
  <c r="P221" i="62"/>
  <c r="O221" i="62"/>
  <c r="N221" i="62"/>
  <c r="M221" i="62"/>
  <c r="J221" i="62"/>
  <c r="G221" i="62"/>
  <c r="F221" i="62"/>
  <c r="P220" i="62"/>
  <c r="O220" i="62"/>
  <c r="N220" i="62"/>
  <c r="M220" i="62"/>
  <c r="J220" i="62"/>
  <c r="G220" i="62"/>
  <c r="F220" i="62"/>
  <c r="P219" i="62"/>
  <c r="O219" i="62"/>
  <c r="N219" i="62"/>
  <c r="M219" i="62"/>
  <c r="J219" i="62"/>
  <c r="G219" i="62"/>
  <c r="F219" i="62"/>
  <c r="P218" i="62"/>
  <c r="O218" i="62"/>
  <c r="N218" i="62"/>
  <c r="M218" i="62"/>
  <c r="J218" i="62"/>
  <c r="G218" i="62"/>
  <c r="F218" i="62"/>
  <c r="P217" i="62"/>
  <c r="O217" i="62"/>
  <c r="N217" i="62"/>
  <c r="M217" i="62"/>
  <c r="J217" i="62"/>
  <c r="G217" i="62"/>
  <c r="F217" i="62"/>
  <c r="P216" i="62"/>
  <c r="O216" i="62"/>
  <c r="N216" i="62"/>
  <c r="M216" i="62"/>
  <c r="J216" i="62"/>
  <c r="G216" i="62"/>
  <c r="F216" i="62"/>
  <c r="P215" i="62"/>
  <c r="O215" i="62"/>
  <c r="N215" i="62"/>
  <c r="M215" i="62"/>
  <c r="J215" i="62"/>
  <c r="G215" i="62"/>
  <c r="F215" i="62"/>
  <c r="P214" i="62"/>
  <c r="O214" i="62"/>
  <c r="N214" i="62"/>
  <c r="M214" i="62"/>
  <c r="J214" i="62"/>
  <c r="G214" i="62"/>
  <c r="F214" i="62"/>
  <c r="P213" i="62"/>
  <c r="O213" i="62"/>
  <c r="N213" i="62"/>
  <c r="M213" i="62"/>
  <c r="J213" i="62"/>
  <c r="G213" i="62"/>
  <c r="F213" i="62"/>
  <c r="P212" i="62"/>
  <c r="O212" i="62"/>
  <c r="N212" i="62"/>
  <c r="M212" i="62"/>
  <c r="J212" i="62"/>
  <c r="G212" i="62"/>
  <c r="F212" i="62"/>
  <c r="P211" i="62"/>
  <c r="O211" i="62"/>
  <c r="N211" i="62"/>
  <c r="M211" i="62"/>
  <c r="J211" i="62"/>
  <c r="G211" i="62"/>
  <c r="F211" i="62"/>
  <c r="P210" i="62"/>
  <c r="O210" i="62"/>
  <c r="N210" i="62"/>
  <c r="M210" i="62"/>
  <c r="J210" i="62"/>
  <c r="G210" i="62"/>
  <c r="F210" i="62"/>
  <c r="P209" i="62"/>
  <c r="O209" i="62"/>
  <c r="N209" i="62"/>
  <c r="M209" i="62"/>
  <c r="J209" i="62"/>
  <c r="G209" i="62"/>
  <c r="F209" i="62"/>
  <c r="P208" i="62"/>
  <c r="O208" i="62"/>
  <c r="N208" i="62"/>
  <c r="M208" i="62"/>
  <c r="J208" i="62"/>
  <c r="G208" i="62"/>
  <c r="F208" i="62"/>
  <c r="P207" i="62"/>
  <c r="O207" i="62"/>
  <c r="N207" i="62"/>
  <c r="M207" i="62"/>
  <c r="J207" i="62"/>
  <c r="G207" i="62"/>
  <c r="F207" i="62"/>
  <c r="P206" i="62"/>
  <c r="O206" i="62"/>
  <c r="N206" i="62"/>
  <c r="M206" i="62"/>
  <c r="J206" i="62"/>
  <c r="G206" i="62"/>
  <c r="F206" i="62"/>
  <c r="P205" i="62"/>
  <c r="O205" i="62"/>
  <c r="N205" i="62"/>
  <c r="M205" i="62"/>
  <c r="J205" i="62"/>
  <c r="G205" i="62"/>
  <c r="F205" i="62"/>
  <c r="P204" i="62"/>
  <c r="O204" i="62"/>
  <c r="N204" i="62"/>
  <c r="M204" i="62"/>
  <c r="J204" i="62"/>
  <c r="G204" i="62"/>
  <c r="F204" i="62"/>
  <c r="P203" i="62"/>
  <c r="O203" i="62"/>
  <c r="N203" i="62"/>
  <c r="M203" i="62"/>
  <c r="J203" i="62"/>
  <c r="G203" i="62"/>
  <c r="F203" i="62"/>
  <c r="P202" i="62"/>
  <c r="O202" i="62"/>
  <c r="N202" i="62"/>
  <c r="M202" i="62"/>
  <c r="J202" i="62"/>
  <c r="G202" i="62"/>
  <c r="F202" i="62"/>
  <c r="P201" i="62"/>
  <c r="O201" i="62"/>
  <c r="N201" i="62"/>
  <c r="M201" i="62"/>
  <c r="J201" i="62"/>
  <c r="G201" i="62"/>
  <c r="F201" i="62"/>
  <c r="P200" i="62"/>
  <c r="O200" i="62"/>
  <c r="N200" i="62"/>
  <c r="M200" i="62"/>
  <c r="J200" i="62"/>
  <c r="G200" i="62"/>
  <c r="F200" i="62"/>
  <c r="P199" i="62"/>
  <c r="O199" i="62"/>
  <c r="N199" i="62"/>
  <c r="M199" i="62"/>
  <c r="J199" i="62"/>
  <c r="G199" i="62"/>
  <c r="F199" i="62"/>
  <c r="P198" i="62"/>
  <c r="O198" i="62"/>
  <c r="N198" i="62"/>
  <c r="M198" i="62"/>
  <c r="J198" i="62"/>
  <c r="G198" i="62"/>
  <c r="F198" i="62"/>
  <c r="P197" i="62"/>
  <c r="O197" i="62"/>
  <c r="N197" i="62"/>
  <c r="M197" i="62"/>
  <c r="J197" i="62"/>
  <c r="G197" i="62"/>
  <c r="F197" i="62"/>
  <c r="P196" i="62"/>
  <c r="O196" i="62"/>
  <c r="N196" i="62"/>
  <c r="M196" i="62"/>
  <c r="J196" i="62"/>
  <c r="G196" i="62"/>
  <c r="F196" i="62"/>
  <c r="P195" i="62"/>
  <c r="O195" i="62"/>
  <c r="N195" i="62"/>
  <c r="M195" i="62"/>
  <c r="J195" i="62"/>
  <c r="G195" i="62"/>
  <c r="F195" i="62"/>
  <c r="P194" i="62"/>
  <c r="O194" i="62"/>
  <c r="N194" i="62"/>
  <c r="M194" i="62"/>
  <c r="J194" i="62"/>
  <c r="G194" i="62"/>
  <c r="F194" i="62"/>
  <c r="P193" i="62"/>
  <c r="O193" i="62"/>
  <c r="N193" i="62"/>
  <c r="M193" i="62"/>
  <c r="J193" i="62"/>
  <c r="G193" i="62"/>
  <c r="F193" i="62"/>
  <c r="P192" i="62"/>
  <c r="O192" i="62"/>
  <c r="N192" i="62"/>
  <c r="M192" i="62"/>
  <c r="J192" i="62"/>
  <c r="G192" i="62"/>
  <c r="F192" i="62"/>
  <c r="P191" i="62"/>
  <c r="O191" i="62"/>
  <c r="N191" i="62"/>
  <c r="M191" i="62"/>
  <c r="J191" i="62"/>
  <c r="G191" i="62"/>
  <c r="F191" i="62"/>
  <c r="P190" i="62"/>
  <c r="O190" i="62"/>
  <c r="N190" i="62"/>
  <c r="M190" i="62"/>
  <c r="J190" i="62"/>
  <c r="G190" i="62"/>
  <c r="F190" i="62"/>
  <c r="P189" i="62"/>
  <c r="O189" i="62"/>
  <c r="N189" i="62"/>
  <c r="M189" i="62"/>
  <c r="J189" i="62"/>
  <c r="G189" i="62"/>
  <c r="F189" i="62"/>
  <c r="P188" i="62"/>
  <c r="O188" i="62"/>
  <c r="N188" i="62"/>
  <c r="M188" i="62"/>
  <c r="J188" i="62"/>
  <c r="G188" i="62"/>
  <c r="F188" i="62"/>
  <c r="P187" i="62"/>
  <c r="O187" i="62"/>
  <c r="N187" i="62"/>
  <c r="M187" i="62"/>
  <c r="J187" i="62"/>
  <c r="G187" i="62"/>
  <c r="F187" i="62"/>
  <c r="P186" i="62"/>
  <c r="O186" i="62"/>
  <c r="N186" i="62"/>
  <c r="M186" i="62"/>
  <c r="J186" i="62"/>
  <c r="G186" i="62"/>
  <c r="F186" i="62"/>
  <c r="P185" i="62"/>
  <c r="O185" i="62"/>
  <c r="N185" i="62"/>
  <c r="M185" i="62"/>
  <c r="J185" i="62"/>
  <c r="G185" i="62"/>
  <c r="F185" i="62"/>
  <c r="P184" i="62"/>
  <c r="O184" i="62"/>
  <c r="N184" i="62"/>
  <c r="M184" i="62"/>
  <c r="J184" i="62"/>
  <c r="G184" i="62"/>
  <c r="F184" i="62"/>
  <c r="P183" i="62"/>
  <c r="O183" i="62"/>
  <c r="N183" i="62"/>
  <c r="M183" i="62"/>
  <c r="J183" i="62"/>
  <c r="G183" i="62"/>
  <c r="F183" i="62"/>
  <c r="P182" i="62"/>
  <c r="O182" i="62"/>
  <c r="N182" i="62"/>
  <c r="M182" i="62"/>
  <c r="J182" i="62"/>
  <c r="G182" i="62"/>
  <c r="F182" i="62"/>
  <c r="P181" i="62"/>
  <c r="O181" i="62"/>
  <c r="N181" i="62"/>
  <c r="M181" i="62"/>
  <c r="J181" i="62"/>
  <c r="G181" i="62"/>
  <c r="F181" i="62"/>
  <c r="P180" i="62"/>
  <c r="O180" i="62"/>
  <c r="N180" i="62"/>
  <c r="M180" i="62"/>
  <c r="J180" i="62"/>
  <c r="G180" i="62"/>
  <c r="F180" i="62"/>
  <c r="P179" i="62"/>
  <c r="O179" i="62"/>
  <c r="N179" i="62"/>
  <c r="M179" i="62"/>
  <c r="J179" i="62"/>
  <c r="G179" i="62"/>
  <c r="F179" i="62"/>
  <c r="P178" i="62"/>
  <c r="O178" i="62"/>
  <c r="N178" i="62"/>
  <c r="M178" i="62"/>
  <c r="J178" i="62"/>
  <c r="G178" i="62"/>
  <c r="F178" i="62"/>
  <c r="P177" i="62"/>
  <c r="O177" i="62"/>
  <c r="N177" i="62"/>
  <c r="M177" i="62"/>
  <c r="J177" i="62"/>
  <c r="G177" i="62"/>
  <c r="F177" i="62"/>
  <c r="P176" i="62"/>
  <c r="O176" i="62"/>
  <c r="N176" i="62"/>
  <c r="M176" i="62"/>
  <c r="J176" i="62"/>
  <c r="G176" i="62"/>
  <c r="F176" i="62"/>
  <c r="P175" i="62"/>
  <c r="O175" i="62"/>
  <c r="N175" i="62"/>
  <c r="M175" i="62"/>
  <c r="P174" i="62"/>
  <c r="O174" i="62"/>
  <c r="N174" i="62"/>
  <c r="M174" i="62"/>
  <c r="J174" i="62"/>
  <c r="G174" i="62"/>
  <c r="F174" i="62"/>
  <c r="P173" i="62"/>
  <c r="O173" i="62"/>
  <c r="N173" i="62"/>
  <c r="M173" i="62"/>
  <c r="J173" i="62"/>
  <c r="G173" i="62"/>
  <c r="F173" i="62"/>
  <c r="P172" i="62"/>
  <c r="O172" i="62"/>
  <c r="N172" i="62"/>
  <c r="M172" i="62"/>
  <c r="J172" i="62"/>
  <c r="G172" i="62"/>
  <c r="F172" i="62"/>
  <c r="P171" i="62"/>
  <c r="O171" i="62"/>
  <c r="N171" i="62"/>
  <c r="M171" i="62"/>
  <c r="J171" i="62"/>
  <c r="G171" i="62"/>
  <c r="F171" i="62"/>
  <c r="P170" i="62"/>
  <c r="O170" i="62"/>
  <c r="N170" i="62"/>
  <c r="M170" i="62"/>
  <c r="J170" i="62"/>
  <c r="G170" i="62"/>
  <c r="F170" i="62"/>
  <c r="P169" i="62"/>
  <c r="O169" i="62"/>
  <c r="N169" i="62"/>
  <c r="M169" i="62"/>
  <c r="J169" i="62"/>
  <c r="G169" i="62"/>
  <c r="F169" i="62"/>
  <c r="P168" i="62"/>
  <c r="O168" i="62"/>
  <c r="N168" i="62"/>
  <c r="M168" i="62"/>
  <c r="J168" i="62"/>
  <c r="G168" i="62"/>
  <c r="F168" i="62"/>
  <c r="P167" i="62"/>
  <c r="O167" i="62"/>
  <c r="N167" i="62"/>
  <c r="M167" i="62"/>
  <c r="J167" i="62"/>
  <c r="G167" i="62"/>
  <c r="F167" i="62"/>
  <c r="P166" i="62"/>
  <c r="O166" i="62"/>
  <c r="N166" i="62"/>
  <c r="M166" i="62"/>
  <c r="J166" i="62"/>
  <c r="G166" i="62"/>
  <c r="F166" i="62"/>
  <c r="P165" i="62"/>
  <c r="O165" i="62"/>
  <c r="N165" i="62"/>
  <c r="M165" i="62"/>
  <c r="J165" i="62"/>
  <c r="G165" i="62"/>
  <c r="F165" i="62"/>
  <c r="P164" i="62"/>
  <c r="O164" i="62"/>
  <c r="N164" i="62"/>
  <c r="M164" i="62"/>
  <c r="J164" i="62"/>
  <c r="G164" i="62"/>
  <c r="F164" i="62"/>
  <c r="P163" i="62"/>
  <c r="O163" i="62"/>
  <c r="N163" i="62"/>
  <c r="M163" i="62"/>
  <c r="J163" i="62"/>
  <c r="G163" i="62"/>
  <c r="F163" i="62"/>
  <c r="P162" i="62"/>
  <c r="O162" i="62"/>
  <c r="N162" i="62"/>
  <c r="M162" i="62"/>
  <c r="J162" i="62"/>
  <c r="G162" i="62"/>
  <c r="F162" i="62"/>
  <c r="P161" i="62"/>
  <c r="O161" i="62"/>
  <c r="N161" i="62"/>
  <c r="M161" i="62"/>
  <c r="J161" i="62"/>
  <c r="G161" i="62"/>
  <c r="F161" i="62"/>
  <c r="P160" i="62"/>
  <c r="O160" i="62"/>
  <c r="N160" i="62"/>
  <c r="M160" i="62"/>
  <c r="J160" i="62"/>
  <c r="G160" i="62"/>
  <c r="F160" i="62"/>
  <c r="P159" i="62"/>
  <c r="O159" i="62"/>
  <c r="N159" i="62"/>
  <c r="M159" i="62"/>
  <c r="J159" i="62"/>
  <c r="G159" i="62"/>
  <c r="F159" i="62"/>
  <c r="P158" i="62"/>
  <c r="O158" i="62"/>
  <c r="N158" i="62"/>
  <c r="M158" i="62"/>
  <c r="J158" i="62"/>
  <c r="G158" i="62"/>
  <c r="F158" i="62"/>
  <c r="P157" i="62"/>
  <c r="O157" i="62"/>
  <c r="N157" i="62"/>
  <c r="M157" i="62"/>
  <c r="J157" i="62"/>
  <c r="G157" i="62"/>
  <c r="F157" i="62"/>
  <c r="P156" i="62"/>
  <c r="O156" i="62"/>
  <c r="N156" i="62"/>
  <c r="M156" i="62"/>
  <c r="J156" i="62"/>
  <c r="G156" i="62"/>
  <c r="F156" i="62"/>
  <c r="P155" i="62"/>
  <c r="O155" i="62"/>
  <c r="N155" i="62"/>
  <c r="M155" i="62"/>
  <c r="J155" i="62"/>
  <c r="G155" i="62"/>
  <c r="F155" i="62"/>
  <c r="P154" i="62"/>
  <c r="O154" i="62"/>
  <c r="N154" i="62"/>
  <c r="M154" i="62"/>
  <c r="J154" i="62"/>
  <c r="G154" i="62"/>
  <c r="F154" i="62"/>
  <c r="P153" i="62"/>
  <c r="O153" i="62"/>
  <c r="N153" i="62"/>
  <c r="M153" i="62"/>
  <c r="J153" i="62"/>
  <c r="G153" i="62"/>
  <c r="F153" i="62"/>
  <c r="P152" i="62"/>
  <c r="O152" i="62"/>
  <c r="N152" i="62"/>
  <c r="M152" i="62"/>
  <c r="J152" i="62"/>
  <c r="G152" i="62"/>
  <c r="F152" i="62"/>
  <c r="P151" i="62"/>
  <c r="O151" i="62"/>
  <c r="N151" i="62"/>
  <c r="M151" i="62"/>
  <c r="J151" i="62"/>
  <c r="G151" i="62"/>
  <c r="F151" i="62"/>
  <c r="P150" i="62"/>
  <c r="O150" i="62"/>
  <c r="N150" i="62"/>
  <c r="M150" i="62"/>
  <c r="J150" i="62"/>
  <c r="G150" i="62"/>
  <c r="F150" i="62"/>
  <c r="P149" i="62"/>
  <c r="O149" i="62"/>
  <c r="N149" i="62"/>
  <c r="M149" i="62"/>
  <c r="J149" i="62"/>
  <c r="G149" i="62"/>
  <c r="F149" i="62"/>
  <c r="P148" i="62"/>
  <c r="O148" i="62"/>
  <c r="N148" i="62"/>
  <c r="M148" i="62"/>
  <c r="J148" i="62"/>
  <c r="G148" i="62"/>
  <c r="F148" i="62"/>
  <c r="P147" i="62"/>
  <c r="O147" i="62"/>
  <c r="N147" i="62"/>
  <c r="M147" i="62"/>
  <c r="J147" i="62"/>
  <c r="G147" i="62"/>
  <c r="F147" i="62"/>
  <c r="P146" i="62"/>
  <c r="O146" i="62"/>
  <c r="N146" i="62"/>
  <c r="M146" i="62"/>
  <c r="J146" i="62"/>
  <c r="G146" i="62"/>
  <c r="F146" i="62"/>
  <c r="P145" i="62"/>
  <c r="O145" i="62"/>
  <c r="N145" i="62"/>
  <c r="M145" i="62"/>
  <c r="J145" i="62"/>
  <c r="G145" i="62"/>
  <c r="F145" i="62"/>
  <c r="P144" i="62"/>
  <c r="O144" i="62"/>
  <c r="N144" i="62"/>
  <c r="M144" i="62"/>
  <c r="J144" i="62"/>
  <c r="G144" i="62"/>
  <c r="F144" i="62"/>
  <c r="P143" i="62"/>
  <c r="O143" i="62"/>
  <c r="N143" i="62"/>
  <c r="M143" i="62"/>
  <c r="J143" i="62"/>
  <c r="G143" i="62"/>
  <c r="F143" i="62"/>
  <c r="P142" i="62"/>
  <c r="O142" i="62"/>
  <c r="N142" i="62"/>
  <c r="M142" i="62"/>
  <c r="J142" i="62"/>
  <c r="G142" i="62"/>
  <c r="F142" i="62"/>
  <c r="P141" i="62"/>
  <c r="O141" i="62"/>
  <c r="N141" i="62"/>
  <c r="M141" i="62"/>
  <c r="J141" i="62"/>
  <c r="G141" i="62"/>
  <c r="F141" i="62"/>
  <c r="P140" i="62"/>
  <c r="O140" i="62"/>
  <c r="N140" i="62"/>
  <c r="M140" i="62"/>
  <c r="J140" i="62"/>
  <c r="G140" i="62"/>
  <c r="F140" i="62"/>
  <c r="P139" i="62"/>
  <c r="O139" i="62"/>
  <c r="N139" i="62"/>
  <c r="M139" i="62"/>
  <c r="J139" i="62"/>
  <c r="G139" i="62"/>
  <c r="F139" i="62"/>
  <c r="P138" i="62"/>
  <c r="O138" i="62"/>
  <c r="N138" i="62"/>
  <c r="M138" i="62"/>
  <c r="J138" i="62"/>
  <c r="G138" i="62"/>
  <c r="F138" i="62"/>
  <c r="P137" i="62"/>
  <c r="O137" i="62"/>
  <c r="N137" i="62"/>
  <c r="M137" i="62"/>
  <c r="J137" i="62"/>
  <c r="G137" i="62"/>
  <c r="F137" i="62"/>
  <c r="P136" i="62"/>
  <c r="O136" i="62"/>
  <c r="N136" i="62"/>
  <c r="M136" i="62"/>
  <c r="J136" i="62"/>
  <c r="G136" i="62"/>
  <c r="F136" i="62"/>
  <c r="P135" i="62"/>
  <c r="O135" i="62"/>
  <c r="N135" i="62"/>
  <c r="M135" i="62"/>
  <c r="J135" i="62"/>
  <c r="G135" i="62"/>
  <c r="F135" i="62"/>
  <c r="P134" i="62"/>
  <c r="O134" i="62"/>
  <c r="N134" i="62"/>
  <c r="M134" i="62"/>
  <c r="J134" i="62"/>
  <c r="G134" i="62"/>
  <c r="F134" i="62"/>
  <c r="P133" i="62"/>
  <c r="O133" i="62"/>
  <c r="N133" i="62"/>
  <c r="M133" i="62"/>
  <c r="J133" i="62"/>
  <c r="G133" i="62"/>
  <c r="F133" i="62"/>
  <c r="P132" i="62"/>
  <c r="O132" i="62"/>
  <c r="N132" i="62"/>
  <c r="M132" i="62"/>
  <c r="J132" i="62"/>
  <c r="G132" i="62"/>
  <c r="F132" i="62"/>
  <c r="P131" i="62"/>
  <c r="O131" i="62"/>
  <c r="N131" i="62"/>
  <c r="M131" i="62"/>
  <c r="J131" i="62"/>
  <c r="G131" i="62"/>
  <c r="F131" i="62"/>
  <c r="P130" i="62"/>
  <c r="O130" i="62"/>
  <c r="N130" i="62"/>
  <c r="M130" i="62"/>
  <c r="J130" i="62"/>
  <c r="G130" i="62"/>
  <c r="F130" i="62"/>
  <c r="P129" i="62"/>
  <c r="O129" i="62"/>
  <c r="N129" i="62"/>
  <c r="M129" i="62"/>
  <c r="J129" i="62"/>
  <c r="G129" i="62"/>
  <c r="F129" i="62"/>
  <c r="P128" i="62"/>
  <c r="O128" i="62"/>
  <c r="N128" i="62"/>
  <c r="M128" i="62"/>
  <c r="J128" i="62"/>
  <c r="G128" i="62"/>
  <c r="F128" i="62"/>
  <c r="P127" i="62"/>
  <c r="O127" i="62"/>
  <c r="N127" i="62"/>
  <c r="M127" i="62"/>
  <c r="J127" i="62"/>
  <c r="G127" i="62"/>
  <c r="F127" i="62"/>
  <c r="P126" i="62"/>
  <c r="O126" i="62"/>
  <c r="N126" i="62"/>
  <c r="M126" i="62"/>
  <c r="J126" i="62"/>
  <c r="G126" i="62"/>
  <c r="F126" i="62"/>
  <c r="P125" i="62"/>
  <c r="O125" i="62"/>
  <c r="N125" i="62"/>
  <c r="M125" i="62"/>
  <c r="J125" i="62"/>
  <c r="G125" i="62"/>
  <c r="F125" i="62"/>
  <c r="P124" i="62"/>
  <c r="O124" i="62"/>
  <c r="N124" i="62"/>
  <c r="M124" i="62"/>
  <c r="J124" i="62"/>
  <c r="G124" i="62"/>
  <c r="F124" i="62"/>
  <c r="P123" i="62"/>
  <c r="O123" i="62"/>
  <c r="N123" i="62"/>
  <c r="M123" i="62"/>
  <c r="J123" i="62"/>
  <c r="G123" i="62"/>
  <c r="F123" i="62"/>
  <c r="P122" i="62"/>
  <c r="O122" i="62"/>
  <c r="N122" i="62"/>
  <c r="M122" i="62"/>
  <c r="J122" i="62"/>
  <c r="G122" i="62"/>
  <c r="F122" i="62"/>
  <c r="P121" i="62"/>
  <c r="O121" i="62"/>
  <c r="N121" i="62"/>
  <c r="M121" i="62"/>
  <c r="J121" i="62"/>
  <c r="G121" i="62"/>
  <c r="F121" i="62"/>
  <c r="P120" i="62"/>
  <c r="O120" i="62"/>
  <c r="N120" i="62"/>
  <c r="M120" i="62"/>
  <c r="J120" i="62"/>
  <c r="G120" i="62"/>
  <c r="F120" i="62"/>
  <c r="P119" i="62"/>
  <c r="O119" i="62"/>
  <c r="N119" i="62"/>
  <c r="M119" i="62"/>
  <c r="J119" i="62"/>
  <c r="G119" i="62"/>
  <c r="F119" i="62"/>
  <c r="P118" i="62"/>
  <c r="O118" i="62"/>
  <c r="N118" i="62"/>
  <c r="M118" i="62"/>
  <c r="J118" i="62"/>
  <c r="G118" i="62"/>
  <c r="F118" i="62"/>
  <c r="P117" i="62"/>
  <c r="O117" i="62"/>
  <c r="N117" i="62"/>
  <c r="M117" i="62"/>
  <c r="J117" i="62"/>
  <c r="G117" i="62"/>
  <c r="F117" i="62"/>
  <c r="P116" i="62"/>
  <c r="O116" i="62"/>
  <c r="N116" i="62"/>
  <c r="M116" i="62"/>
  <c r="J116" i="62"/>
  <c r="G116" i="62"/>
  <c r="F116" i="62"/>
  <c r="P115" i="62"/>
  <c r="O115" i="62"/>
  <c r="N115" i="62"/>
  <c r="M115" i="62"/>
  <c r="J115" i="62"/>
  <c r="G115" i="62"/>
  <c r="F115" i="62"/>
  <c r="P114" i="62"/>
  <c r="O114" i="62"/>
  <c r="N114" i="62"/>
  <c r="M114" i="62"/>
  <c r="J114" i="62"/>
  <c r="G114" i="62"/>
  <c r="F114" i="62"/>
  <c r="P113" i="62"/>
  <c r="O113" i="62"/>
  <c r="N113" i="62"/>
  <c r="M113" i="62"/>
  <c r="J113" i="62"/>
  <c r="G113" i="62"/>
  <c r="F113" i="62"/>
  <c r="P112" i="62"/>
  <c r="O112" i="62"/>
  <c r="N112" i="62"/>
  <c r="M112" i="62"/>
  <c r="J112" i="62"/>
  <c r="G112" i="62"/>
  <c r="F112" i="62"/>
  <c r="P111" i="62"/>
  <c r="O111" i="62"/>
  <c r="N111" i="62"/>
  <c r="M111" i="62"/>
  <c r="J111" i="62"/>
  <c r="G111" i="62"/>
  <c r="F111" i="62"/>
  <c r="P110" i="62"/>
  <c r="O110" i="62"/>
  <c r="N110" i="62"/>
  <c r="M110" i="62"/>
  <c r="J110" i="62"/>
  <c r="G110" i="62"/>
  <c r="F110" i="62"/>
  <c r="P109" i="62"/>
  <c r="O109" i="62"/>
  <c r="N109" i="62"/>
  <c r="M109" i="62"/>
  <c r="J109" i="62"/>
  <c r="G109" i="62"/>
  <c r="F109" i="62"/>
  <c r="P108" i="62"/>
  <c r="O108" i="62"/>
  <c r="N108" i="62"/>
  <c r="M108" i="62"/>
  <c r="J108" i="62"/>
  <c r="G108" i="62"/>
  <c r="F108" i="62"/>
  <c r="P107" i="62"/>
  <c r="O107" i="62"/>
  <c r="N107" i="62"/>
  <c r="M107" i="62"/>
  <c r="J107" i="62"/>
  <c r="G107" i="62"/>
  <c r="F107" i="62"/>
  <c r="P106" i="62"/>
  <c r="O106" i="62"/>
  <c r="N106" i="62"/>
  <c r="M106" i="62"/>
  <c r="J106" i="62"/>
  <c r="G106" i="62"/>
  <c r="F106" i="62"/>
  <c r="P105" i="62"/>
  <c r="O105" i="62"/>
  <c r="N105" i="62"/>
  <c r="M105" i="62"/>
  <c r="J105" i="62"/>
  <c r="G105" i="62"/>
  <c r="F105" i="62"/>
  <c r="P104" i="62"/>
  <c r="O104" i="62"/>
  <c r="N104" i="62"/>
  <c r="M104" i="62"/>
  <c r="J104" i="62"/>
  <c r="G104" i="62"/>
  <c r="F104" i="62"/>
  <c r="P103" i="62"/>
  <c r="O103" i="62"/>
  <c r="N103" i="62"/>
  <c r="M103" i="62"/>
  <c r="J103" i="62"/>
  <c r="G103" i="62"/>
  <c r="F103" i="62"/>
  <c r="P102" i="62"/>
  <c r="O102" i="62"/>
  <c r="N102" i="62"/>
  <c r="M102" i="62"/>
  <c r="J102" i="62"/>
  <c r="G102" i="62"/>
  <c r="F102" i="62"/>
  <c r="P101" i="62"/>
  <c r="O101" i="62"/>
  <c r="N101" i="62"/>
  <c r="M101" i="62"/>
  <c r="J101" i="62"/>
  <c r="G101" i="62"/>
  <c r="F101" i="62"/>
  <c r="P100" i="62"/>
  <c r="O100" i="62"/>
  <c r="N100" i="62"/>
  <c r="M100" i="62"/>
  <c r="J100" i="62"/>
  <c r="G100" i="62"/>
  <c r="F100" i="62"/>
  <c r="P99" i="62"/>
  <c r="O99" i="62"/>
  <c r="N99" i="62"/>
  <c r="M99" i="62"/>
  <c r="J99" i="62"/>
  <c r="G99" i="62"/>
  <c r="F99" i="62"/>
  <c r="P98" i="62"/>
  <c r="O98" i="62"/>
  <c r="N98" i="62"/>
  <c r="M98" i="62"/>
  <c r="J98" i="62"/>
  <c r="G98" i="62"/>
  <c r="F98" i="62"/>
  <c r="P97" i="62"/>
  <c r="O97" i="62"/>
  <c r="N97" i="62"/>
  <c r="M97" i="62"/>
  <c r="J97" i="62"/>
  <c r="G97" i="62"/>
  <c r="F97" i="62"/>
  <c r="P96" i="62"/>
  <c r="O96" i="62"/>
  <c r="N96" i="62"/>
  <c r="M96" i="62"/>
  <c r="J96" i="62"/>
  <c r="G96" i="62"/>
  <c r="F96" i="62"/>
  <c r="P95" i="62"/>
  <c r="O95" i="62"/>
  <c r="N95" i="62"/>
  <c r="M95" i="62"/>
  <c r="J95" i="62"/>
  <c r="G95" i="62"/>
  <c r="F95" i="62"/>
  <c r="P94" i="62"/>
  <c r="O94" i="62"/>
  <c r="N94" i="62"/>
  <c r="M94" i="62"/>
  <c r="J94" i="62"/>
  <c r="G94" i="62"/>
  <c r="F94" i="62"/>
  <c r="P93" i="62"/>
  <c r="O93" i="62"/>
  <c r="N93" i="62"/>
  <c r="M93" i="62"/>
  <c r="J93" i="62"/>
  <c r="G93" i="62"/>
  <c r="F93" i="62"/>
  <c r="P92" i="62"/>
  <c r="O92" i="62"/>
  <c r="N92" i="62"/>
  <c r="M92" i="62"/>
  <c r="J92" i="62"/>
  <c r="G92" i="62"/>
  <c r="F92" i="62"/>
  <c r="P91" i="62"/>
  <c r="O91" i="62"/>
  <c r="N91" i="62"/>
  <c r="M91" i="62"/>
  <c r="J91" i="62"/>
  <c r="G91" i="62"/>
  <c r="F91" i="62"/>
  <c r="P90" i="62"/>
  <c r="O90" i="62"/>
  <c r="N90" i="62"/>
  <c r="M90" i="62"/>
  <c r="J90" i="62"/>
  <c r="G90" i="62"/>
  <c r="F90" i="62"/>
  <c r="P89" i="62"/>
  <c r="O89" i="62"/>
  <c r="N89" i="62"/>
  <c r="M89" i="62"/>
  <c r="J89" i="62"/>
  <c r="G89" i="62"/>
  <c r="F89" i="62"/>
  <c r="P88" i="62"/>
  <c r="O88" i="62"/>
  <c r="N88" i="62"/>
  <c r="M88" i="62"/>
  <c r="J88" i="62"/>
  <c r="G88" i="62"/>
  <c r="F88" i="62"/>
  <c r="P87" i="62"/>
  <c r="O87" i="62"/>
  <c r="N87" i="62"/>
  <c r="M87" i="62"/>
  <c r="J87" i="62"/>
  <c r="G87" i="62"/>
  <c r="F87" i="62"/>
  <c r="P86" i="62"/>
  <c r="O86" i="62"/>
  <c r="N86" i="62"/>
  <c r="M86" i="62"/>
  <c r="J86" i="62"/>
  <c r="G86" i="62"/>
  <c r="F86" i="62"/>
  <c r="P85" i="62"/>
  <c r="O85" i="62"/>
  <c r="N85" i="62"/>
  <c r="M85" i="62"/>
  <c r="J85" i="62"/>
  <c r="G85" i="62"/>
  <c r="F85" i="62"/>
  <c r="P84" i="62"/>
  <c r="O84" i="62"/>
  <c r="N84" i="62"/>
  <c r="M84" i="62"/>
  <c r="J84" i="62"/>
  <c r="G84" i="62"/>
  <c r="F84" i="62"/>
  <c r="P83" i="62"/>
  <c r="O83" i="62"/>
  <c r="N83" i="62"/>
  <c r="M83" i="62"/>
  <c r="J83" i="62"/>
  <c r="G83" i="62"/>
  <c r="F83" i="62"/>
  <c r="P82" i="62"/>
  <c r="O82" i="62"/>
  <c r="N82" i="62"/>
  <c r="M82" i="62"/>
  <c r="J82" i="62"/>
  <c r="G82" i="62"/>
  <c r="F82" i="62"/>
  <c r="P81" i="62"/>
  <c r="O81" i="62"/>
  <c r="N81" i="62"/>
  <c r="M81" i="62"/>
  <c r="J81" i="62"/>
  <c r="G81" i="62"/>
  <c r="F81" i="62"/>
  <c r="P80" i="62"/>
  <c r="O80" i="62"/>
  <c r="N80" i="62"/>
  <c r="M80" i="62"/>
  <c r="J80" i="62"/>
  <c r="G80" i="62"/>
  <c r="F80" i="62"/>
  <c r="P79" i="62"/>
  <c r="O79" i="62"/>
  <c r="N79" i="62"/>
  <c r="M79" i="62"/>
  <c r="J79" i="62"/>
  <c r="G79" i="62"/>
  <c r="F79" i="62"/>
  <c r="P78" i="62"/>
  <c r="O78" i="62"/>
  <c r="N78" i="62"/>
  <c r="M78" i="62"/>
  <c r="J78" i="62"/>
  <c r="G78" i="62"/>
  <c r="F78" i="62"/>
  <c r="P77" i="62"/>
  <c r="O77" i="62"/>
  <c r="N77" i="62"/>
  <c r="M77" i="62"/>
  <c r="J77" i="62"/>
  <c r="G77" i="62"/>
  <c r="F77" i="62"/>
  <c r="P76" i="62"/>
  <c r="O76" i="62"/>
  <c r="N76" i="62"/>
  <c r="M76" i="62"/>
  <c r="J76" i="62"/>
  <c r="G76" i="62"/>
  <c r="F76" i="62"/>
  <c r="P75" i="62"/>
  <c r="O75" i="62"/>
  <c r="N75" i="62"/>
  <c r="M75" i="62"/>
  <c r="J75" i="62"/>
  <c r="G75" i="62"/>
  <c r="F75" i="62"/>
  <c r="P74" i="62"/>
  <c r="O74" i="62"/>
  <c r="N74" i="62"/>
  <c r="M74" i="62"/>
  <c r="J74" i="62"/>
  <c r="G74" i="62"/>
  <c r="F74" i="62"/>
  <c r="P73" i="62"/>
  <c r="O73" i="62"/>
  <c r="N73" i="62"/>
  <c r="M73" i="62"/>
  <c r="J73" i="62"/>
  <c r="G73" i="62"/>
  <c r="F73" i="62"/>
  <c r="P72" i="62"/>
  <c r="O72" i="62"/>
  <c r="N72" i="62"/>
  <c r="M72" i="62"/>
  <c r="J72" i="62"/>
  <c r="G72" i="62"/>
  <c r="F72" i="62"/>
  <c r="P71" i="62"/>
  <c r="O71" i="62"/>
  <c r="N71" i="62"/>
  <c r="M71" i="62"/>
  <c r="J71" i="62"/>
  <c r="G71" i="62"/>
  <c r="F71" i="62"/>
  <c r="P70" i="62"/>
  <c r="O70" i="62"/>
  <c r="N70" i="62"/>
  <c r="M70" i="62"/>
  <c r="J70" i="62"/>
  <c r="G70" i="62"/>
  <c r="F70" i="62"/>
  <c r="P69" i="62"/>
  <c r="O69" i="62"/>
  <c r="N69" i="62"/>
  <c r="M69" i="62"/>
  <c r="J69" i="62"/>
  <c r="G69" i="62"/>
  <c r="F69" i="62"/>
  <c r="P68" i="62"/>
  <c r="O68" i="62"/>
  <c r="N68" i="62"/>
  <c r="M68" i="62"/>
  <c r="J68" i="62"/>
  <c r="G68" i="62"/>
  <c r="F68" i="62"/>
  <c r="P67" i="62"/>
  <c r="O67" i="62"/>
  <c r="N67" i="62"/>
  <c r="M67" i="62"/>
  <c r="J67" i="62"/>
  <c r="G67" i="62"/>
  <c r="F67" i="62"/>
  <c r="P66" i="62"/>
  <c r="O66" i="62"/>
  <c r="N66" i="62"/>
  <c r="M66" i="62"/>
  <c r="J66" i="62"/>
  <c r="G66" i="62"/>
  <c r="F66" i="62"/>
  <c r="P65" i="62"/>
  <c r="O65" i="62"/>
  <c r="N65" i="62"/>
  <c r="M65" i="62"/>
  <c r="J65" i="62"/>
  <c r="G65" i="62"/>
  <c r="F65" i="62"/>
  <c r="P64" i="62"/>
  <c r="O64" i="62"/>
  <c r="N64" i="62"/>
  <c r="M64" i="62"/>
  <c r="J64" i="62"/>
  <c r="G64" i="62"/>
  <c r="F64" i="62"/>
  <c r="P63" i="62"/>
  <c r="O63" i="62"/>
  <c r="N63" i="62"/>
  <c r="M63" i="62"/>
  <c r="J63" i="62"/>
  <c r="G63" i="62"/>
  <c r="F63" i="62"/>
  <c r="P62" i="62"/>
  <c r="O62" i="62"/>
  <c r="N62" i="62"/>
  <c r="M62" i="62"/>
  <c r="J62" i="62"/>
  <c r="G62" i="62"/>
  <c r="F62" i="62"/>
  <c r="P61" i="62"/>
  <c r="O61" i="62"/>
  <c r="N61" i="62"/>
  <c r="M61" i="62"/>
  <c r="J61" i="62"/>
  <c r="G61" i="62"/>
  <c r="F61" i="62"/>
  <c r="P60" i="62"/>
  <c r="O60" i="62"/>
  <c r="N60" i="62"/>
  <c r="M60" i="62"/>
  <c r="J60" i="62"/>
  <c r="G60" i="62"/>
  <c r="F60" i="62"/>
  <c r="P59" i="62"/>
  <c r="O59" i="62"/>
  <c r="N59" i="62"/>
  <c r="M59" i="62"/>
  <c r="J59" i="62"/>
  <c r="G59" i="62"/>
  <c r="F59" i="62"/>
  <c r="P58" i="62"/>
  <c r="O58" i="62"/>
  <c r="N58" i="62"/>
  <c r="M58" i="62"/>
  <c r="J58" i="62"/>
  <c r="G58" i="62"/>
  <c r="F58" i="62"/>
  <c r="P57" i="62"/>
  <c r="O57" i="62"/>
  <c r="N57" i="62"/>
  <c r="M57" i="62"/>
  <c r="J57" i="62"/>
  <c r="G57" i="62"/>
  <c r="F57" i="62"/>
  <c r="P56" i="62"/>
  <c r="O56" i="62"/>
  <c r="N56" i="62"/>
  <c r="M56" i="62"/>
  <c r="J56" i="62"/>
  <c r="G56" i="62"/>
  <c r="F56" i="62"/>
  <c r="P55" i="62"/>
  <c r="O55" i="62"/>
  <c r="N55" i="62"/>
  <c r="M55" i="62"/>
  <c r="J55" i="62"/>
  <c r="G55" i="62"/>
  <c r="F55" i="62"/>
  <c r="P54" i="62"/>
  <c r="O54" i="62"/>
  <c r="N54" i="62"/>
  <c r="M54" i="62"/>
  <c r="J54" i="62"/>
  <c r="G54" i="62"/>
  <c r="F54" i="62"/>
  <c r="P53" i="62"/>
  <c r="O53" i="62"/>
  <c r="N53" i="62"/>
  <c r="M53" i="62"/>
  <c r="J53" i="62"/>
  <c r="G53" i="62"/>
  <c r="F53" i="62"/>
  <c r="P52" i="62"/>
  <c r="O52" i="62"/>
  <c r="N52" i="62"/>
  <c r="M52" i="62"/>
  <c r="J52" i="62"/>
  <c r="G52" i="62"/>
  <c r="F52" i="62"/>
  <c r="P51" i="62"/>
  <c r="O51" i="62"/>
  <c r="N51" i="62"/>
  <c r="M51" i="62"/>
  <c r="J51" i="62"/>
  <c r="G51" i="62"/>
  <c r="F51" i="62"/>
  <c r="P50" i="62"/>
  <c r="O50" i="62"/>
  <c r="N50" i="62"/>
  <c r="M50" i="62"/>
  <c r="J50" i="62"/>
  <c r="G50" i="62"/>
  <c r="F50" i="62"/>
  <c r="P49" i="62"/>
  <c r="O49" i="62"/>
  <c r="N49" i="62"/>
  <c r="M49" i="62"/>
  <c r="J49" i="62"/>
  <c r="G49" i="62"/>
  <c r="F49" i="62"/>
  <c r="P48" i="62"/>
  <c r="O48" i="62"/>
  <c r="N48" i="62"/>
  <c r="M48" i="62"/>
  <c r="J48" i="62"/>
  <c r="G48" i="62"/>
  <c r="F48" i="62"/>
  <c r="P47" i="62"/>
  <c r="O47" i="62"/>
  <c r="N47" i="62"/>
  <c r="M47" i="62"/>
  <c r="J47" i="62"/>
  <c r="G47" i="62"/>
  <c r="F47" i="62"/>
  <c r="P46" i="62"/>
  <c r="O46" i="62"/>
  <c r="N46" i="62"/>
  <c r="M46" i="62"/>
  <c r="J46" i="62"/>
  <c r="G46" i="62"/>
  <c r="F46" i="62"/>
  <c r="P45" i="62"/>
  <c r="O45" i="62"/>
  <c r="N45" i="62"/>
  <c r="M45" i="62"/>
  <c r="J45" i="62"/>
  <c r="G45" i="62"/>
  <c r="F45" i="62"/>
  <c r="P44" i="62"/>
  <c r="O44" i="62"/>
  <c r="N44" i="62"/>
  <c r="M44" i="62"/>
  <c r="J44" i="62"/>
  <c r="G44" i="62"/>
  <c r="F44" i="62"/>
  <c r="P43" i="62"/>
  <c r="O43" i="62"/>
  <c r="N43" i="62"/>
  <c r="M43" i="62"/>
  <c r="J43" i="62"/>
  <c r="G43" i="62"/>
  <c r="F43" i="62"/>
  <c r="P42" i="62"/>
  <c r="O42" i="62"/>
  <c r="N42" i="62"/>
  <c r="M42" i="62"/>
  <c r="J42" i="62"/>
  <c r="G42" i="62"/>
  <c r="F42" i="62"/>
  <c r="P41" i="62"/>
  <c r="O41" i="62"/>
  <c r="N41" i="62"/>
  <c r="M41" i="62"/>
  <c r="J41" i="62"/>
  <c r="G41" i="62"/>
  <c r="F41" i="62"/>
  <c r="P40" i="62"/>
  <c r="O40" i="62"/>
  <c r="N40" i="62"/>
  <c r="M40" i="62"/>
  <c r="J40" i="62"/>
  <c r="G40" i="62"/>
  <c r="F40" i="62"/>
  <c r="P39" i="62"/>
  <c r="O39" i="62"/>
  <c r="N39" i="62"/>
  <c r="M39" i="62"/>
  <c r="J39" i="62"/>
  <c r="G39" i="62"/>
  <c r="F39" i="62"/>
  <c r="P38" i="62"/>
  <c r="O38" i="62"/>
  <c r="N38" i="62"/>
  <c r="M38" i="62"/>
  <c r="J38" i="62"/>
  <c r="G38" i="62"/>
  <c r="F38" i="62"/>
  <c r="P37" i="62"/>
  <c r="O37" i="62"/>
  <c r="N37" i="62"/>
  <c r="M37" i="62"/>
  <c r="J37" i="62"/>
  <c r="G37" i="62"/>
  <c r="F37" i="62"/>
  <c r="P36" i="62"/>
  <c r="O36" i="62"/>
  <c r="N36" i="62"/>
  <c r="M36" i="62"/>
  <c r="J36" i="62"/>
  <c r="G36" i="62"/>
  <c r="F36" i="62"/>
  <c r="P35" i="62"/>
  <c r="O35" i="62"/>
  <c r="N35" i="62"/>
  <c r="M35" i="62"/>
  <c r="J35" i="62"/>
  <c r="G35" i="62"/>
  <c r="F35" i="62"/>
  <c r="P34" i="62"/>
  <c r="O34" i="62"/>
  <c r="N34" i="62"/>
  <c r="M34" i="62"/>
  <c r="J34" i="62"/>
  <c r="G34" i="62"/>
  <c r="F34" i="62"/>
  <c r="P33" i="62"/>
  <c r="O33" i="62"/>
  <c r="N33" i="62"/>
  <c r="M33" i="62"/>
  <c r="J33" i="62"/>
  <c r="G33" i="62"/>
  <c r="F33" i="62"/>
  <c r="P32" i="62"/>
  <c r="O32" i="62"/>
  <c r="N32" i="62"/>
  <c r="M32" i="62"/>
  <c r="J32" i="62"/>
  <c r="G32" i="62"/>
  <c r="F32" i="62"/>
  <c r="P31" i="62"/>
  <c r="O31" i="62"/>
  <c r="N31" i="62"/>
  <c r="M31" i="62"/>
  <c r="J31" i="62"/>
  <c r="G31" i="62"/>
  <c r="F31" i="62"/>
  <c r="P30" i="62"/>
  <c r="O30" i="62"/>
  <c r="N30" i="62"/>
  <c r="M30" i="62"/>
  <c r="J30" i="62"/>
  <c r="G30" i="62"/>
  <c r="F30" i="62"/>
  <c r="P29" i="62"/>
  <c r="O29" i="62"/>
  <c r="N29" i="62"/>
  <c r="M29" i="62"/>
  <c r="J29" i="62"/>
  <c r="G29" i="62"/>
  <c r="F29" i="62"/>
  <c r="P28" i="62"/>
  <c r="O28" i="62"/>
  <c r="N28" i="62"/>
  <c r="M28" i="62"/>
  <c r="J28" i="62"/>
  <c r="G28" i="62"/>
  <c r="F28" i="62"/>
  <c r="O27" i="62"/>
  <c r="N27" i="62"/>
  <c r="M27" i="62"/>
  <c r="C24" i="62"/>
  <c r="D23" i="62"/>
  <c r="C23" i="62"/>
  <c r="Q22" i="62"/>
  <c r="D22" i="62"/>
  <c r="C22" i="62"/>
  <c r="Q21" i="62"/>
  <c r="M21" i="62"/>
  <c r="I21" i="62"/>
  <c r="G21" i="62"/>
  <c r="D21" i="62"/>
  <c r="C21" i="62"/>
  <c r="O20" i="62"/>
  <c r="N20" i="62"/>
  <c r="M20" i="62"/>
  <c r="J20" i="62"/>
  <c r="I20" i="62"/>
  <c r="H20" i="62"/>
  <c r="G20" i="62"/>
  <c r="D20" i="62"/>
  <c r="C20" i="62"/>
  <c r="O19" i="62"/>
  <c r="N19" i="62"/>
  <c r="M19" i="62"/>
  <c r="J19" i="62"/>
  <c r="I19" i="62"/>
  <c r="H19" i="62"/>
  <c r="G19" i="62"/>
  <c r="D19" i="62"/>
  <c r="C19" i="62"/>
  <c r="O18" i="62"/>
  <c r="N18" i="62"/>
  <c r="M18" i="62"/>
  <c r="J18" i="62"/>
  <c r="I18" i="62"/>
  <c r="H18" i="62"/>
  <c r="G18" i="62"/>
  <c r="D18" i="62"/>
  <c r="C18" i="62"/>
  <c r="O17" i="62"/>
  <c r="N17" i="62"/>
  <c r="M17" i="62"/>
  <c r="J17" i="62"/>
  <c r="I17" i="62"/>
  <c r="H17" i="62"/>
  <c r="G17" i="62"/>
  <c r="D17" i="62"/>
  <c r="C17" i="62"/>
  <c r="Z11" i="62"/>
  <c r="X11" i="62"/>
  <c r="V11" i="62"/>
  <c r="T11" i="62"/>
  <c r="R11" i="62"/>
  <c r="C11" i="62"/>
  <c r="AA10" i="62"/>
  <c r="Z10" i="62"/>
  <c r="Y10" i="62"/>
  <c r="X10" i="62"/>
  <c r="W10" i="62"/>
  <c r="V10" i="62"/>
  <c r="U10" i="62"/>
  <c r="T10" i="62"/>
  <c r="R10" i="62"/>
  <c r="AA9" i="62"/>
  <c r="Z9" i="62"/>
  <c r="Y9" i="62"/>
  <c r="X9" i="62"/>
  <c r="W9" i="62"/>
  <c r="V9" i="62"/>
  <c r="U9" i="62"/>
  <c r="T9" i="62"/>
  <c r="R9" i="62"/>
  <c r="C9" i="62"/>
  <c r="AA8" i="62"/>
  <c r="Z8" i="62"/>
  <c r="Y8" i="62"/>
  <c r="X8" i="62"/>
  <c r="W8" i="62"/>
  <c r="V8" i="62"/>
  <c r="U8" i="62"/>
  <c r="T8" i="62"/>
  <c r="R8" i="62"/>
  <c r="AA7" i="62"/>
  <c r="Z7" i="62"/>
  <c r="Y7" i="62"/>
  <c r="X7" i="62"/>
  <c r="W7" i="62"/>
  <c r="V7" i="62"/>
  <c r="U7" i="62"/>
  <c r="T7" i="62"/>
  <c r="R7" i="62"/>
  <c r="AA6" i="62"/>
  <c r="Z6" i="62"/>
  <c r="Y6" i="62"/>
  <c r="X6" i="62"/>
  <c r="W6" i="62"/>
  <c r="V6" i="62"/>
  <c r="U6" i="62"/>
  <c r="T6" i="62"/>
  <c r="R6" i="62"/>
  <c r="AA5" i="62"/>
  <c r="Z5" i="62"/>
  <c r="Y5" i="62"/>
  <c r="X5" i="62"/>
  <c r="W5" i="62"/>
  <c r="V5" i="62"/>
  <c r="U5" i="62"/>
  <c r="T5" i="62"/>
  <c r="R5" i="62"/>
  <c r="AA4" i="62"/>
  <c r="Z4" i="62"/>
  <c r="Y4" i="62"/>
  <c r="X4" i="62"/>
  <c r="W4" i="62"/>
  <c r="V4" i="62"/>
  <c r="U4" i="62"/>
  <c r="T4" i="62"/>
  <c r="R4" i="62"/>
  <c r="ZL217" i="51"/>
  <c r="ZL216" i="51"/>
  <c r="ZL215" i="51"/>
  <c r="ZL214" i="51"/>
  <c r="ZL213" i="51"/>
  <c r="ZL212" i="51"/>
  <c r="ZL211" i="51"/>
  <c r="ZL210" i="51"/>
  <c r="ZL209" i="51"/>
  <c r="ZL208" i="51"/>
  <c r="ZL207" i="51"/>
  <c r="ZL206" i="51"/>
  <c r="ZL205" i="51"/>
  <c r="ZL204" i="51"/>
  <c r="ZL203" i="51"/>
  <c r="ZL202" i="51"/>
  <c r="ZL201" i="51"/>
  <c r="ZL200" i="51"/>
  <c r="ZL199" i="51"/>
  <c r="ZL198" i="51"/>
  <c r="ZL197" i="51"/>
  <c r="ZL196" i="51"/>
  <c r="ZL195" i="51"/>
  <c r="ZL194" i="51"/>
  <c r="ZL193" i="51"/>
  <c r="ZL192" i="51"/>
  <c r="ZL191" i="51"/>
  <c r="ZL190" i="51"/>
  <c r="ZL189" i="51"/>
  <c r="ZL188" i="51"/>
  <c r="ZL187" i="51"/>
  <c r="ZL186" i="51"/>
  <c r="ZL185" i="51"/>
  <c r="ZL184" i="51"/>
  <c r="ZL183" i="51"/>
  <c r="ZL182" i="51"/>
  <c r="ZL181" i="51"/>
  <c r="ZL180" i="51"/>
  <c r="ZL179" i="51"/>
  <c r="ZL178" i="51"/>
  <c r="ZL177" i="51"/>
  <c r="ZL176" i="51"/>
  <c r="ZL175" i="51"/>
  <c r="ZL174" i="51"/>
  <c r="ZL173" i="51"/>
  <c r="ZL172" i="51"/>
  <c r="ZL171" i="51"/>
  <c r="ZL170" i="51"/>
  <c r="ZL169" i="51"/>
  <c r="ZL168" i="51"/>
  <c r="ZL167" i="51"/>
  <c r="ZL166" i="51"/>
  <c r="ZL165" i="51"/>
  <c r="ZL164" i="51"/>
  <c r="ZL163" i="51"/>
  <c r="ZL162" i="51"/>
  <c r="ZL161" i="51"/>
  <c r="ZL160" i="51"/>
  <c r="ZL159" i="51"/>
  <c r="ZL158" i="51"/>
  <c r="ZL157" i="51"/>
  <c r="ZL156" i="51"/>
  <c r="ZL155" i="51"/>
  <c r="ZL154" i="51"/>
  <c r="ZL153" i="51"/>
  <c r="ZL152" i="51"/>
  <c r="ZL151" i="51"/>
  <c r="ZL150" i="51"/>
  <c r="ZL149" i="51"/>
  <c r="ZL148" i="51"/>
  <c r="ZL147" i="51"/>
  <c r="ZL146" i="51"/>
  <c r="ZL145" i="51"/>
  <c r="ZL144" i="51"/>
  <c r="ZL143" i="51"/>
  <c r="ZL142" i="51"/>
  <c r="ZL141" i="51"/>
  <c r="ZL140" i="51"/>
  <c r="ZL139" i="51"/>
  <c r="ZL138" i="51"/>
  <c r="ZL137" i="51"/>
  <c r="ZL136" i="51"/>
  <c r="ZL135" i="51"/>
  <c r="ZL134" i="51"/>
  <c r="ZL133" i="51"/>
  <c r="ZL132" i="51"/>
  <c r="ZL131" i="51"/>
  <c r="ZL130" i="51"/>
  <c r="ZL129" i="51"/>
  <c r="ZL128" i="51"/>
  <c r="ZL127" i="51"/>
  <c r="ZL126" i="51"/>
  <c r="ZL125" i="51"/>
  <c r="ZL124" i="51"/>
  <c r="ZL123" i="51"/>
  <c r="ZL122" i="51"/>
  <c r="ZL121" i="51"/>
  <c r="ZL120" i="51"/>
  <c r="ZL119" i="51"/>
  <c r="ZL118" i="51"/>
  <c r="ZL117" i="51"/>
  <c r="ZL116" i="51"/>
  <c r="ZL115" i="51"/>
  <c r="ZL114" i="51"/>
  <c r="ZL113" i="51"/>
  <c r="ZL112" i="51"/>
  <c r="ZL111" i="51"/>
  <c r="ZL110" i="51"/>
  <c r="ZL109" i="51"/>
  <c r="ZL108" i="51"/>
  <c r="ZL107" i="51"/>
  <c r="ZL106" i="51"/>
  <c r="ZL105" i="51"/>
  <c r="ZL104" i="51"/>
  <c r="ZL103" i="51"/>
  <c r="ZL102" i="51"/>
  <c r="ZL101" i="51"/>
  <c r="ZL100" i="51"/>
  <c r="ZL99" i="51"/>
  <c r="ZL98" i="51"/>
  <c r="ZL97" i="51"/>
  <c r="ZL96" i="51"/>
  <c r="ZL95" i="51"/>
  <c r="ZL94" i="51"/>
  <c r="ZL93" i="51"/>
  <c r="ZL92" i="51"/>
  <c r="ZL91" i="51"/>
  <c r="ZL90" i="51"/>
  <c r="ZL89" i="51"/>
  <c r="ZL88" i="51"/>
  <c r="ZL87" i="51"/>
  <c r="ZL86" i="51"/>
  <c r="ZL85" i="51"/>
  <c r="ZL84" i="51"/>
  <c r="ZL83" i="51"/>
  <c r="ZL82" i="51"/>
  <c r="ZL81" i="51"/>
  <c r="ZL80" i="51"/>
  <c r="ZL79" i="51"/>
  <c r="ZL78" i="51"/>
  <c r="ZL77" i="51"/>
  <c r="ZL76" i="51"/>
  <c r="ZL75" i="51"/>
  <c r="ZL74" i="51"/>
  <c r="ZL73" i="51"/>
  <c r="ZL72" i="51"/>
  <c r="ZL71" i="51"/>
  <c r="ZL70" i="51"/>
  <c r="ZL69" i="51"/>
  <c r="ZL68" i="51"/>
  <c r="ZL67" i="51"/>
  <c r="ZL66" i="51"/>
  <c r="ZL65" i="51"/>
  <c r="F65" i="51"/>
  <c r="ZL64" i="51"/>
  <c r="IS64" i="51"/>
  <c r="IR64" i="51"/>
  <c r="IQ64" i="51"/>
  <c r="IP64" i="51"/>
  <c r="IO64" i="51"/>
  <c r="IN64" i="51"/>
  <c r="IM64" i="51"/>
  <c r="IL64" i="51"/>
  <c r="IK64" i="51"/>
  <c r="IJ64" i="51"/>
  <c r="II64" i="51"/>
  <c r="IH64" i="51"/>
  <c r="IG64" i="51"/>
  <c r="IF64" i="51"/>
  <c r="IE64" i="51"/>
  <c r="ID64" i="51"/>
  <c r="IC64" i="51"/>
  <c r="IB64" i="51"/>
  <c r="IA64" i="51"/>
  <c r="HZ64" i="51"/>
  <c r="HY64" i="51"/>
  <c r="HX64" i="51"/>
  <c r="HW64" i="51"/>
  <c r="HV64" i="51"/>
  <c r="HU64" i="51"/>
  <c r="HT64" i="51"/>
  <c r="HS64" i="51"/>
  <c r="HR64" i="51"/>
  <c r="HQ64" i="51"/>
  <c r="HP64" i="51"/>
  <c r="HO64" i="51"/>
  <c r="HN64" i="51"/>
  <c r="HM64" i="51"/>
  <c r="HL64" i="51"/>
  <c r="HK64" i="51"/>
  <c r="HJ64" i="51"/>
  <c r="HI64" i="51"/>
  <c r="HH64" i="51"/>
  <c r="HG64" i="51"/>
  <c r="HF64" i="51"/>
  <c r="HE64" i="51"/>
  <c r="HD64" i="51"/>
  <c r="HC64" i="51"/>
  <c r="HB64" i="51"/>
  <c r="HA64" i="51"/>
  <c r="GZ64" i="51"/>
  <c r="GY64" i="51"/>
  <c r="GX64" i="51"/>
  <c r="GW64" i="51"/>
  <c r="GV64" i="51"/>
  <c r="GU64" i="51"/>
  <c r="GT64" i="51"/>
  <c r="GS64" i="51"/>
  <c r="GR64" i="51"/>
  <c r="GQ64" i="51"/>
  <c r="GP64" i="51"/>
  <c r="GO64" i="51"/>
  <c r="GN64" i="51"/>
  <c r="GM64" i="51"/>
  <c r="GL64" i="51"/>
  <c r="GK64" i="51"/>
  <c r="GJ64" i="51"/>
  <c r="GI64" i="51"/>
  <c r="GH64" i="51"/>
  <c r="GG64" i="51"/>
  <c r="GF64" i="51"/>
  <c r="GE64" i="51"/>
  <c r="GD64" i="51"/>
  <c r="GC64" i="51"/>
  <c r="GB64" i="51"/>
  <c r="GA64" i="51"/>
  <c r="FZ64" i="51"/>
  <c r="FY64" i="51"/>
  <c r="FX64" i="51"/>
  <c r="FW64" i="51"/>
  <c r="FV64" i="51"/>
  <c r="FU64" i="51"/>
  <c r="FT64" i="51"/>
  <c r="FS64" i="51"/>
  <c r="FR64" i="51"/>
  <c r="FQ64" i="51"/>
  <c r="FP64" i="51"/>
  <c r="FO64" i="51"/>
  <c r="FN64" i="51"/>
  <c r="FM64" i="51"/>
  <c r="FL64" i="51"/>
  <c r="FK64" i="51"/>
  <c r="FJ64" i="51"/>
  <c r="FI64" i="51"/>
  <c r="FH64" i="51"/>
  <c r="FG64" i="51"/>
  <c r="FF64" i="51"/>
  <c r="FE64" i="51"/>
  <c r="FD64" i="51"/>
  <c r="FC64" i="51"/>
  <c r="FB64" i="51"/>
  <c r="FA64" i="51"/>
  <c r="EZ64" i="51"/>
  <c r="EY64" i="51"/>
  <c r="EX64" i="51"/>
  <c r="EW64" i="51"/>
  <c r="EV64" i="51"/>
  <c r="EU64" i="51"/>
  <c r="ET64" i="51"/>
  <c r="ES64" i="51"/>
  <c r="ER64" i="51"/>
  <c r="EQ64" i="51"/>
  <c r="EP64" i="51"/>
  <c r="EO64" i="51"/>
  <c r="EN64" i="51"/>
  <c r="EM64" i="51"/>
  <c r="EL64" i="51"/>
  <c r="EK64" i="51"/>
  <c r="EJ64" i="51"/>
  <c r="EI64" i="51"/>
  <c r="EH64" i="51"/>
  <c r="EG64" i="51"/>
  <c r="EF64" i="51"/>
  <c r="EE64" i="51"/>
  <c r="ED64" i="51"/>
  <c r="EC64" i="51"/>
  <c r="EB64" i="51"/>
  <c r="EA64" i="51"/>
  <c r="DZ64" i="51"/>
  <c r="DY64" i="51"/>
  <c r="DX64" i="51"/>
  <c r="DW64" i="51"/>
  <c r="DV64" i="51"/>
  <c r="DU64" i="51"/>
  <c r="DT64" i="51"/>
  <c r="DS64" i="51"/>
  <c r="DR64" i="51"/>
  <c r="DQ64" i="51"/>
  <c r="DP64" i="51"/>
  <c r="DO64" i="51"/>
  <c r="DN64" i="51"/>
  <c r="DM64" i="51"/>
  <c r="DL64" i="51"/>
  <c r="DK64" i="51"/>
  <c r="DJ64" i="51"/>
  <c r="DI64" i="51"/>
  <c r="DH64" i="51"/>
  <c r="DG64" i="51"/>
  <c r="DF64" i="51"/>
  <c r="DE64" i="51"/>
  <c r="DD64" i="51"/>
  <c r="DC64" i="51"/>
  <c r="DB64" i="51"/>
  <c r="DA64" i="51"/>
  <c r="CZ64" i="51"/>
  <c r="CY64" i="51"/>
  <c r="CX64" i="51"/>
  <c r="CW64" i="51"/>
  <c r="CV64" i="51"/>
  <c r="CU64" i="51"/>
  <c r="CT64" i="51"/>
  <c r="CS64" i="51"/>
  <c r="CR64" i="51"/>
  <c r="CQ64" i="51"/>
  <c r="CP64" i="51"/>
  <c r="CO64" i="51"/>
  <c r="CN64" i="51"/>
  <c r="CM64" i="51"/>
  <c r="CL64" i="51"/>
  <c r="CK64" i="51"/>
  <c r="CJ64" i="51"/>
  <c r="CI64" i="51"/>
  <c r="CH64" i="51"/>
  <c r="CG64" i="51"/>
  <c r="CF64" i="51"/>
  <c r="CE64" i="51"/>
  <c r="CD64" i="51"/>
  <c r="CC64" i="51"/>
  <c r="CB64" i="51"/>
  <c r="CA64" i="51"/>
  <c r="BZ64" i="51"/>
  <c r="BY64" i="51"/>
  <c r="BX64" i="51"/>
  <c r="BW64" i="51"/>
  <c r="BV64" i="51"/>
  <c r="BU64" i="51"/>
  <c r="BT64" i="51"/>
  <c r="BS64" i="51"/>
  <c r="BR64" i="51"/>
  <c r="BQ64" i="51"/>
  <c r="BP64" i="51"/>
  <c r="BO64" i="51"/>
  <c r="BN64" i="51"/>
  <c r="BM64" i="51"/>
  <c r="BL64" i="51"/>
  <c r="BK64" i="51"/>
  <c r="BJ64" i="51"/>
  <c r="BI64" i="51"/>
  <c r="BH64" i="51"/>
  <c r="BG64" i="51"/>
  <c r="BF64" i="51"/>
  <c r="BE64" i="51"/>
  <c r="BD64" i="51"/>
  <c r="BC64" i="51"/>
  <c r="BB64" i="51"/>
  <c r="BA64" i="51"/>
  <c r="AZ64" i="51"/>
  <c r="AY64" i="51"/>
  <c r="AX64" i="51"/>
  <c r="AW64" i="51"/>
  <c r="AV64" i="51"/>
  <c r="AU64" i="51"/>
  <c r="AT64" i="51"/>
  <c r="AS64" i="51"/>
  <c r="AR64" i="51"/>
  <c r="AQ64" i="51"/>
  <c r="AP64" i="51"/>
  <c r="AO64" i="51"/>
  <c r="AN64" i="51"/>
  <c r="AM64" i="51"/>
  <c r="AL64" i="51"/>
  <c r="AK64" i="51"/>
  <c r="AJ64" i="51"/>
  <c r="AI64" i="51"/>
  <c r="AH64" i="51"/>
  <c r="AG64" i="51"/>
  <c r="AF64" i="51"/>
  <c r="AE64" i="51"/>
  <c r="AD64" i="51"/>
  <c r="AC64" i="51"/>
  <c r="AB64" i="51"/>
  <c r="AA64" i="51"/>
  <c r="Z64" i="51"/>
  <c r="Y64" i="51"/>
  <c r="X64" i="51"/>
  <c r="W64" i="51"/>
  <c r="V64" i="51"/>
  <c r="U64" i="51"/>
  <c r="T64" i="51"/>
  <c r="S64" i="51"/>
  <c r="R64" i="51"/>
  <c r="Q64" i="51"/>
  <c r="P64" i="51"/>
  <c r="O64" i="51"/>
  <c r="N64" i="51"/>
  <c r="M64" i="51"/>
  <c r="L64" i="51"/>
  <c r="K64" i="51"/>
  <c r="J64" i="51"/>
  <c r="I64" i="51"/>
  <c r="H64" i="51"/>
  <c r="G64" i="51"/>
  <c r="F64" i="51"/>
  <c r="ZL63" i="51"/>
  <c r="C63" i="51"/>
  <c r="B63" i="51"/>
  <c r="A63" i="51"/>
  <c r="ZL62" i="51"/>
  <c r="ZL61" i="51"/>
  <c r="ZL60" i="51"/>
  <c r="ZL59" i="51"/>
  <c r="ZL58" i="51"/>
  <c r="ZL57" i="51"/>
  <c r="F57" i="51"/>
  <c r="ZL56" i="51"/>
  <c r="WO56" i="51"/>
  <c r="WN56" i="51"/>
  <c r="WM56" i="51"/>
  <c r="WL56" i="51"/>
  <c r="WK56" i="51"/>
  <c r="WJ56" i="51"/>
  <c r="WI56" i="51"/>
  <c r="WH56" i="51"/>
  <c r="WG56" i="51"/>
  <c r="WF56" i="51"/>
  <c r="WE56" i="51"/>
  <c r="WD56" i="51"/>
  <c r="WC56" i="51"/>
  <c r="WB56" i="51"/>
  <c r="WA56" i="51"/>
  <c r="VZ56" i="51"/>
  <c r="VY56" i="51"/>
  <c r="VX56" i="51"/>
  <c r="VW56" i="51"/>
  <c r="VV56" i="51"/>
  <c r="VU56" i="51"/>
  <c r="VT56" i="51"/>
  <c r="VS56" i="51"/>
  <c r="VR56" i="51"/>
  <c r="VQ56" i="51"/>
  <c r="VP56" i="51"/>
  <c r="VO56" i="51"/>
  <c r="VN56" i="51"/>
  <c r="VM56" i="51"/>
  <c r="VL56" i="51"/>
  <c r="VK56" i="51"/>
  <c r="VJ56" i="51"/>
  <c r="VI56" i="51"/>
  <c r="VH56" i="51"/>
  <c r="VG56" i="51"/>
  <c r="VF56" i="51"/>
  <c r="VE56" i="51"/>
  <c r="VD56" i="51"/>
  <c r="VC56" i="51"/>
  <c r="VB56" i="51"/>
  <c r="VA56" i="51"/>
  <c r="UZ56" i="51"/>
  <c r="UY56" i="51"/>
  <c r="UX56" i="51"/>
  <c r="UW56" i="51"/>
  <c r="UV56" i="51"/>
  <c r="UU56" i="51"/>
  <c r="UT56" i="51"/>
  <c r="US56" i="51"/>
  <c r="UR56" i="51"/>
  <c r="UQ56" i="51"/>
  <c r="UP56" i="51"/>
  <c r="UO56" i="51"/>
  <c r="UN56" i="51"/>
  <c r="UM56" i="51"/>
  <c r="UL56" i="51"/>
  <c r="UK56" i="51"/>
  <c r="UJ56" i="51"/>
  <c r="UI56" i="51"/>
  <c r="UH56" i="51"/>
  <c r="UG56" i="51"/>
  <c r="UF56" i="51"/>
  <c r="UE56" i="51"/>
  <c r="UD56" i="51"/>
  <c r="UC56" i="51"/>
  <c r="UB56" i="51"/>
  <c r="UA56" i="51"/>
  <c r="TZ56" i="51"/>
  <c r="TY56" i="51"/>
  <c r="TX56" i="51"/>
  <c r="TW56" i="51"/>
  <c r="TV56" i="51"/>
  <c r="TU56" i="51"/>
  <c r="TT56" i="51"/>
  <c r="TS56" i="51"/>
  <c r="TR56" i="51"/>
  <c r="TQ56" i="51"/>
  <c r="TP56" i="51"/>
  <c r="TO56" i="51"/>
  <c r="TN56" i="51"/>
  <c r="TM56" i="51"/>
  <c r="TL56" i="51"/>
  <c r="TK56" i="51"/>
  <c r="TJ56" i="51"/>
  <c r="TI56" i="51"/>
  <c r="TH56" i="51"/>
  <c r="TG56" i="51"/>
  <c r="TF56" i="51"/>
  <c r="TE56" i="51"/>
  <c r="TD56" i="51"/>
  <c r="TC56" i="51"/>
  <c r="TB56" i="51"/>
  <c r="TA56" i="51"/>
  <c r="SZ56" i="51"/>
  <c r="SY56" i="51"/>
  <c r="SX56" i="51"/>
  <c r="SW56" i="51"/>
  <c r="SV56" i="51"/>
  <c r="SU56" i="51"/>
  <c r="ST56" i="51"/>
  <c r="SS56" i="51"/>
  <c r="SR56" i="51"/>
  <c r="SQ56" i="51"/>
  <c r="SP56" i="51"/>
  <c r="SO56" i="51"/>
  <c r="SN56" i="51"/>
  <c r="SM56" i="51"/>
  <c r="SL56" i="51"/>
  <c r="SK56" i="51"/>
  <c r="SJ56" i="51"/>
  <c r="SI56" i="51"/>
  <c r="SH56" i="51"/>
  <c r="SG56" i="51"/>
  <c r="SF56" i="51"/>
  <c r="SE56" i="51"/>
  <c r="SD56" i="51"/>
  <c r="SC56" i="51"/>
  <c r="SB56" i="51"/>
  <c r="SA56" i="51"/>
  <c r="RZ56" i="51"/>
  <c r="RY56" i="51"/>
  <c r="RX56" i="51"/>
  <c r="RW56" i="51"/>
  <c r="RV56" i="51"/>
  <c r="RU56" i="51"/>
  <c r="RT56" i="51"/>
  <c r="RS56" i="51"/>
  <c r="RR56" i="51"/>
  <c r="RQ56" i="51"/>
  <c r="RP56" i="51"/>
  <c r="RO56" i="51"/>
  <c r="RN56" i="51"/>
  <c r="RM56" i="51"/>
  <c r="RL56" i="51"/>
  <c r="RK56" i="51"/>
  <c r="RJ56" i="51"/>
  <c r="RI56" i="51"/>
  <c r="RH56" i="51"/>
  <c r="RG56" i="51"/>
  <c r="RF56" i="51"/>
  <c r="RE56" i="51"/>
  <c r="RD56" i="51"/>
  <c r="RC56" i="51"/>
  <c r="RB56" i="51"/>
  <c r="RA56" i="51"/>
  <c r="QZ56" i="51"/>
  <c r="QY56" i="51"/>
  <c r="QX56" i="51"/>
  <c r="QW56" i="51"/>
  <c r="QV56" i="51"/>
  <c r="QU56" i="51"/>
  <c r="QT56" i="51"/>
  <c r="QS56" i="51"/>
  <c r="QR56" i="51"/>
  <c r="QQ56" i="51"/>
  <c r="QP56" i="51"/>
  <c r="QO56" i="51"/>
  <c r="QN56" i="51"/>
  <c r="QM56" i="51"/>
  <c r="QL56" i="51"/>
  <c r="QK56" i="51"/>
  <c r="QJ56" i="51"/>
  <c r="QI56" i="51"/>
  <c r="QH56" i="51"/>
  <c r="QG56" i="51"/>
  <c r="QF56" i="51"/>
  <c r="QE56" i="51"/>
  <c r="QD56" i="51"/>
  <c r="QC56" i="51"/>
  <c r="QB56" i="51"/>
  <c r="QA56" i="51"/>
  <c r="PZ56" i="51"/>
  <c r="PY56" i="51"/>
  <c r="PX56" i="51"/>
  <c r="PW56" i="51"/>
  <c r="PV56" i="51"/>
  <c r="PU56" i="51"/>
  <c r="PT56" i="51"/>
  <c r="PS56" i="51"/>
  <c r="PR56" i="51"/>
  <c r="PQ56" i="51"/>
  <c r="PP56" i="51"/>
  <c r="PO56" i="51"/>
  <c r="PN56" i="51"/>
  <c r="PM56" i="51"/>
  <c r="PL56" i="51"/>
  <c r="PK56" i="51"/>
  <c r="PJ56" i="51"/>
  <c r="PI56" i="51"/>
  <c r="PH56" i="51"/>
  <c r="PG56" i="51"/>
  <c r="PF56" i="51"/>
  <c r="PE56" i="51"/>
  <c r="PD56" i="51"/>
  <c r="PC56" i="51"/>
  <c r="PB56" i="51"/>
  <c r="PA56" i="51"/>
  <c r="OZ56" i="51"/>
  <c r="OY56" i="51"/>
  <c r="OX56" i="51"/>
  <c r="OW56" i="51"/>
  <c r="OV56" i="51"/>
  <c r="OU56" i="51"/>
  <c r="OT56" i="51"/>
  <c r="OS56" i="51"/>
  <c r="OR56" i="51"/>
  <c r="OQ56" i="51"/>
  <c r="OP56" i="51"/>
  <c r="OO56" i="51"/>
  <c r="ON56" i="51"/>
  <c r="OM56" i="51"/>
  <c r="OL56" i="51"/>
  <c r="OK56" i="51"/>
  <c r="OJ56" i="51"/>
  <c r="OI56" i="51"/>
  <c r="OH56" i="51"/>
  <c r="OG56" i="51"/>
  <c r="OF56" i="51"/>
  <c r="OE56" i="51"/>
  <c r="OD56" i="51"/>
  <c r="OC56" i="51"/>
  <c r="OB56" i="51"/>
  <c r="OA56" i="51"/>
  <c r="NZ56" i="51"/>
  <c r="NY56" i="51"/>
  <c r="NX56" i="51"/>
  <c r="NW56" i="51"/>
  <c r="NV56" i="51"/>
  <c r="NU56" i="51"/>
  <c r="NT56" i="51"/>
  <c r="NS56" i="51"/>
  <c r="NR56" i="51"/>
  <c r="NQ56" i="51"/>
  <c r="NP56" i="51"/>
  <c r="NO56" i="51"/>
  <c r="NN56" i="51"/>
  <c r="NM56" i="51"/>
  <c r="NL56" i="51"/>
  <c r="NK56" i="51"/>
  <c r="NJ56" i="51"/>
  <c r="NI56" i="51"/>
  <c r="NH56" i="51"/>
  <c r="NG56" i="51"/>
  <c r="NF56" i="51"/>
  <c r="NE56" i="51"/>
  <c r="ND56" i="51"/>
  <c r="NC56" i="51"/>
  <c r="NB56" i="51"/>
  <c r="NA56" i="51"/>
  <c r="MZ56" i="51"/>
  <c r="MY56" i="51"/>
  <c r="MX56" i="51"/>
  <c r="MW56" i="51"/>
  <c r="MV56" i="51"/>
  <c r="MU56" i="51"/>
  <c r="MT56" i="51"/>
  <c r="MS56" i="51"/>
  <c r="MR56" i="51"/>
  <c r="MQ56" i="51"/>
  <c r="MP56" i="51"/>
  <c r="MO56" i="51"/>
  <c r="MN56" i="51"/>
  <c r="MM56" i="51"/>
  <c r="ML56" i="51"/>
  <c r="MK56" i="51"/>
  <c r="MJ56" i="51"/>
  <c r="MI56" i="51"/>
  <c r="MH56" i="51"/>
  <c r="MG56" i="51"/>
  <c r="MF56" i="51"/>
  <c r="ME56" i="51"/>
  <c r="MD56" i="51"/>
  <c r="MC56" i="51"/>
  <c r="MB56" i="51"/>
  <c r="MA56" i="51"/>
  <c r="LZ56" i="51"/>
  <c r="LY56" i="51"/>
  <c r="LX56" i="51"/>
  <c r="LW56" i="51"/>
  <c r="LV56" i="51"/>
  <c r="LU56" i="51"/>
  <c r="LT56" i="51"/>
  <c r="LS56" i="51"/>
  <c r="LR56" i="51"/>
  <c r="LQ56" i="51"/>
  <c r="LP56" i="51"/>
  <c r="LO56" i="51"/>
  <c r="LN56" i="51"/>
  <c r="LM56" i="51"/>
  <c r="LL56" i="51"/>
  <c r="LK56" i="51"/>
  <c r="LJ56" i="51"/>
  <c r="LI56" i="51"/>
  <c r="LH56" i="51"/>
  <c r="LG56" i="51"/>
  <c r="LF56" i="51"/>
  <c r="LE56" i="51"/>
  <c r="LD56" i="51"/>
  <c r="LC56" i="51"/>
  <c r="LB56" i="51"/>
  <c r="LA56" i="51"/>
  <c r="KZ56" i="51"/>
  <c r="KY56" i="51"/>
  <c r="KX56" i="51"/>
  <c r="KW56" i="51"/>
  <c r="KV56" i="51"/>
  <c r="KU56" i="51"/>
  <c r="KT56" i="51"/>
  <c r="KS56" i="51"/>
  <c r="KR56" i="51"/>
  <c r="KQ56" i="51"/>
  <c r="KP56" i="51"/>
  <c r="KO56" i="51"/>
  <c r="KN56" i="51"/>
  <c r="KM56" i="51"/>
  <c r="KL56" i="51"/>
  <c r="KK56" i="51"/>
  <c r="KJ56" i="51"/>
  <c r="KI56" i="51"/>
  <c r="KH56" i="51"/>
  <c r="KG56" i="51"/>
  <c r="KF56" i="51"/>
  <c r="KE56" i="51"/>
  <c r="KD56" i="51"/>
  <c r="KC56" i="51"/>
  <c r="KB56" i="51"/>
  <c r="KA56" i="51"/>
  <c r="JZ56" i="51"/>
  <c r="JY56" i="51"/>
  <c r="JX56" i="51"/>
  <c r="JW56" i="51"/>
  <c r="JV56" i="51"/>
  <c r="JU56" i="51"/>
  <c r="JT56" i="51"/>
  <c r="JS56" i="51"/>
  <c r="JR56" i="51"/>
  <c r="JQ56" i="51"/>
  <c r="JP56" i="51"/>
  <c r="JO56" i="51"/>
  <c r="JN56" i="51"/>
  <c r="JM56" i="51"/>
  <c r="JL56" i="51"/>
  <c r="JK56" i="51"/>
  <c r="JJ56" i="51"/>
  <c r="JI56" i="51"/>
  <c r="JH56" i="51"/>
  <c r="JG56" i="51"/>
  <c r="JF56" i="51"/>
  <c r="JE56" i="51"/>
  <c r="JD56" i="51"/>
  <c r="JC56" i="51"/>
  <c r="JB56" i="51"/>
  <c r="JA56" i="51"/>
  <c r="IZ56" i="51"/>
  <c r="IY56" i="51"/>
  <c r="IX56" i="51"/>
  <c r="IW56" i="51"/>
  <c r="IV56" i="51"/>
  <c r="IU56" i="51"/>
  <c r="IT56" i="51"/>
  <c r="IS56" i="51"/>
  <c r="IR56" i="51"/>
  <c r="IQ56" i="51"/>
  <c r="IP56" i="51"/>
  <c r="IO56" i="51"/>
  <c r="IN56" i="51"/>
  <c r="IM56" i="51"/>
  <c r="IL56" i="51"/>
  <c r="IK56" i="51"/>
  <c r="IJ56" i="51"/>
  <c r="II56" i="51"/>
  <c r="IH56" i="51"/>
  <c r="IG56" i="51"/>
  <c r="IF56" i="51"/>
  <c r="IE56" i="51"/>
  <c r="ID56" i="51"/>
  <c r="IC56" i="51"/>
  <c r="IB56" i="51"/>
  <c r="IA56" i="51"/>
  <c r="HZ56" i="51"/>
  <c r="HY56" i="51"/>
  <c r="HX56" i="51"/>
  <c r="HW56" i="51"/>
  <c r="HV56" i="51"/>
  <c r="HU56" i="51"/>
  <c r="HT56" i="51"/>
  <c r="HS56" i="51"/>
  <c r="HR56" i="51"/>
  <c r="HQ56" i="51"/>
  <c r="HP56" i="51"/>
  <c r="HO56" i="51"/>
  <c r="HN56" i="51"/>
  <c r="HM56" i="51"/>
  <c r="HL56" i="51"/>
  <c r="HK56" i="51"/>
  <c r="HJ56" i="51"/>
  <c r="HI56" i="51"/>
  <c r="HH56" i="51"/>
  <c r="HG56" i="51"/>
  <c r="HF56" i="51"/>
  <c r="HE56" i="51"/>
  <c r="HD56" i="51"/>
  <c r="HC56" i="51"/>
  <c r="HB56" i="51"/>
  <c r="HA56" i="51"/>
  <c r="GZ56" i="51"/>
  <c r="GY56" i="51"/>
  <c r="GX56" i="51"/>
  <c r="GW56" i="51"/>
  <c r="GV56" i="51"/>
  <c r="GU56" i="51"/>
  <c r="GT56" i="51"/>
  <c r="GS56" i="51"/>
  <c r="GR56" i="51"/>
  <c r="GQ56" i="51"/>
  <c r="GP56" i="51"/>
  <c r="GO56" i="51"/>
  <c r="GN56" i="51"/>
  <c r="GM56" i="51"/>
  <c r="GL56" i="51"/>
  <c r="GK56" i="51"/>
  <c r="GJ56" i="51"/>
  <c r="GI56" i="51"/>
  <c r="GH56" i="51"/>
  <c r="GG56" i="51"/>
  <c r="GF56" i="51"/>
  <c r="GE56" i="51"/>
  <c r="GD56" i="51"/>
  <c r="GC56" i="51"/>
  <c r="GB56" i="51"/>
  <c r="GA56" i="51"/>
  <c r="FZ56" i="51"/>
  <c r="FY56" i="51"/>
  <c r="FX56" i="51"/>
  <c r="FW56" i="51"/>
  <c r="FV56" i="51"/>
  <c r="FU56" i="51"/>
  <c r="FT56" i="51"/>
  <c r="FS56" i="51"/>
  <c r="FR56" i="51"/>
  <c r="FQ56" i="51"/>
  <c r="FP56" i="51"/>
  <c r="FO56" i="51"/>
  <c r="FN56" i="51"/>
  <c r="FM56" i="51"/>
  <c r="FL56" i="51"/>
  <c r="FK56" i="51"/>
  <c r="FJ56" i="51"/>
  <c r="FI56" i="51"/>
  <c r="FH56" i="51"/>
  <c r="FG56" i="51"/>
  <c r="FF56" i="51"/>
  <c r="FE56" i="51"/>
  <c r="FD56" i="51"/>
  <c r="FC56" i="51"/>
  <c r="FB56" i="51"/>
  <c r="FA56" i="51"/>
  <c r="EZ56" i="51"/>
  <c r="EY56" i="51"/>
  <c r="EX56" i="51"/>
  <c r="EW56" i="51"/>
  <c r="EV56" i="51"/>
  <c r="EU56" i="51"/>
  <c r="ET56" i="51"/>
  <c r="ES56" i="51"/>
  <c r="ER56" i="51"/>
  <c r="EQ56" i="51"/>
  <c r="EO56" i="51"/>
  <c r="EN56" i="51"/>
  <c r="EM56" i="51"/>
  <c r="EL56" i="51"/>
  <c r="EK56" i="51"/>
  <c r="EJ56" i="51"/>
  <c r="EI56" i="51"/>
  <c r="EH56" i="51"/>
  <c r="EG56" i="51"/>
  <c r="EF56" i="51"/>
  <c r="EE56" i="51"/>
  <c r="ED56" i="51"/>
  <c r="EC56" i="51"/>
  <c r="EB56" i="51"/>
  <c r="EA56" i="51"/>
  <c r="DZ56" i="51"/>
  <c r="DY56" i="51"/>
  <c r="DX56" i="51"/>
  <c r="DW56" i="51"/>
  <c r="DV56" i="51"/>
  <c r="DU56" i="51"/>
  <c r="DT56" i="51"/>
  <c r="DS56" i="51"/>
  <c r="DR56" i="51"/>
  <c r="DQ56" i="51"/>
  <c r="DP56" i="51"/>
  <c r="DO56" i="51"/>
  <c r="DN56" i="51"/>
  <c r="DM56" i="51"/>
  <c r="DL56" i="51"/>
  <c r="DK56" i="51"/>
  <c r="DJ56" i="51"/>
  <c r="DI56" i="51"/>
  <c r="DH56" i="51"/>
  <c r="DG56" i="51"/>
  <c r="DF56" i="51"/>
  <c r="DE56" i="51"/>
  <c r="DD56" i="51"/>
  <c r="DC56" i="51"/>
  <c r="DB56" i="51"/>
  <c r="DA56" i="51"/>
  <c r="CZ56" i="51"/>
  <c r="CY56" i="51"/>
  <c r="CX56" i="51"/>
  <c r="CW56" i="51"/>
  <c r="CV56" i="51"/>
  <c r="CU56" i="51"/>
  <c r="CT56" i="51"/>
  <c r="CS56" i="51"/>
  <c r="CR56" i="51"/>
  <c r="CQ56" i="51"/>
  <c r="CP56" i="51"/>
  <c r="CO56" i="51"/>
  <c r="CN56" i="51"/>
  <c r="CM56" i="51"/>
  <c r="CL56" i="51"/>
  <c r="CK56" i="51"/>
  <c r="CJ56" i="51"/>
  <c r="CI56" i="51"/>
  <c r="CH56" i="51"/>
  <c r="CG56" i="51"/>
  <c r="CF56" i="51"/>
  <c r="CE56" i="51"/>
  <c r="CD56" i="51"/>
  <c r="CC56" i="51"/>
  <c r="CB56" i="51"/>
  <c r="CA56" i="51"/>
  <c r="BZ56" i="51"/>
  <c r="BY56" i="51"/>
  <c r="BX56" i="51"/>
  <c r="BW56" i="51"/>
  <c r="BV56" i="51"/>
  <c r="BU56" i="51"/>
  <c r="BT56" i="51"/>
  <c r="BS56" i="51"/>
  <c r="BR56" i="51"/>
  <c r="BQ56" i="51"/>
  <c r="BP56" i="51"/>
  <c r="BO56" i="51"/>
  <c r="BN56" i="51"/>
  <c r="BM56" i="51"/>
  <c r="BL56" i="51"/>
  <c r="BK56" i="51"/>
  <c r="BJ56" i="51"/>
  <c r="BI56" i="51"/>
  <c r="BH56" i="51"/>
  <c r="BG56" i="51"/>
  <c r="BF56" i="51"/>
  <c r="BE56" i="51"/>
  <c r="BD56" i="51"/>
  <c r="BC56" i="51"/>
  <c r="BB56" i="51"/>
  <c r="BA56" i="51"/>
  <c r="AZ56" i="51"/>
  <c r="AY56" i="51"/>
  <c r="AX56" i="51"/>
  <c r="AW56" i="51"/>
  <c r="AV56" i="51"/>
  <c r="AU56" i="51"/>
  <c r="AT56" i="51"/>
  <c r="AS56" i="51"/>
  <c r="AR56" i="51"/>
  <c r="AQ56" i="51"/>
  <c r="AP56" i="51"/>
  <c r="AO56" i="51"/>
  <c r="AN56" i="51"/>
  <c r="AM56" i="51"/>
  <c r="AL56" i="51"/>
  <c r="AK56" i="51"/>
  <c r="AJ56" i="51"/>
  <c r="AI56" i="51"/>
  <c r="AH56" i="51"/>
  <c r="AG56" i="51"/>
  <c r="AF56" i="51"/>
  <c r="AE56" i="51"/>
  <c r="AD56" i="51"/>
  <c r="AC56" i="51"/>
  <c r="AB56" i="51"/>
  <c r="AA56" i="51"/>
  <c r="Z56" i="51"/>
  <c r="Y56" i="51"/>
  <c r="X56" i="51"/>
  <c r="W56" i="51"/>
  <c r="V56" i="51"/>
  <c r="U56" i="51"/>
  <c r="T56" i="51"/>
  <c r="S56" i="51"/>
  <c r="R56" i="51"/>
  <c r="Q56" i="51"/>
  <c r="P56" i="51"/>
  <c r="O56" i="51"/>
  <c r="N56" i="51"/>
  <c r="M56" i="51"/>
  <c r="L56" i="51"/>
  <c r="K56" i="51"/>
  <c r="J56" i="51"/>
  <c r="I56" i="51"/>
  <c r="H56" i="51"/>
  <c r="G56" i="51"/>
  <c r="F56" i="51"/>
  <c r="ZL55" i="51"/>
  <c r="C55" i="51"/>
  <c r="B55" i="51"/>
  <c r="A55" i="51"/>
  <c r="ZL54" i="51"/>
  <c r="ZL53" i="51"/>
  <c r="ZL52" i="51"/>
  <c r="ZL51" i="51"/>
  <c r="ZL50" i="51"/>
  <c r="ZL49" i="51"/>
  <c r="F49" i="51"/>
  <c r="ZL48" i="51"/>
  <c r="ZC48" i="51"/>
  <c r="ZB48" i="51"/>
  <c r="ZA48" i="51"/>
  <c r="YZ48" i="51"/>
  <c r="YY48" i="51"/>
  <c r="YX48" i="51"/>
  <c r="YW48" i="51"/>
  <c r="YV48" i="51"/>
  <c r="YU48" i="51"/>
  <c r="YT48" i="51"/>
  <c r="YS48" i="51"/>
  <c r="YR48" i="51"/>
  <c r="YQ48" i="51"/>
  <c r="YP48" i="51"/>
  <c r="YO48" i="51"/>
  <c r="YN48" i="51"/>
  <c r="YM48" i="51"/>
  <c r="YL48" i="51"/>
  <c r="YK48" i="51"/>
  <c r="YJ48" i="51"/>
  <c r="YI48" i="51"/>
  <c r="YH48" i="51"/>
  <c r="YG48" i="51"/>
  <c r="YF48" i="51"/>
  <c r="YE48" i="51"/>
  <c r="YD48" i="51"/>
  <c r="YC48" i="51"/>
  <c r="YB48" i="51"/>
  <c r="YA48" i="51"/>
  <c r="XZ48" i="51"/>
  <c r="XY48" i="51"/>
  <c r="XX48" i="51"/>
  <c r="XW48" i="51"/>
  <c r="XV48" i="51"/>
  <c r="XU48" i="51"/>
  <c r="XT48" i="51"/>
  <c r="XS48" i="51"/>
  <c r="XR48" i="51"/>
  <c r="XQ48" i="51"/>
  <c r="XP48" i="51"/>
  <c r="XO48" i="51"/>
  <c r="XN48" i="51"/>
  <c r="XM48" i="51"/>
  <c r="XL48" i="51"/>
  <c r="XK48" i="51"/>
  <c r="XJ48" i="51"/>
  <c r="XI48" i="51"/>
  <c r="XH48" i="51"/>
  <c r="XG48" i="51"/>
  <c r="XF48" i="51"/>
  <c r="XE48" i="51"/>
  <c r="XD48" i="51"/>
  <c r="XC48" i="51"/>
  <c r="XB48" i="51"/>
  <c r="XA48" i="51"/>
  <c r="WZ48" i="51"/>
  <c r="WY48" i="51"/>
  <c r="WX48" i="51"/>
  <c r="WW48" i="51"/>
  <c r="WV48" i="51"/>
  <c r="WU48" i="51"/>
  <c r="WT48" i="51"/>
  <c r="WS48" i="51"/>
  <c r="WR48" i="51"/>
  <c r="WQ48" i="51"/>
  <c r="WP48" i="51"/>
  <c r="WO48" i="51"/>
  <c r="WN48" i="51"/>
  <c r="WM48" i="51"/>
  <c r="WL48" i="51"/>
  <c r="WK48" i="51"/>
  <c r="WJ48" i="51"/>
  <c r="WI48" i="51"/>
  <c r="WH48" i="51"/>
  <c r="WG48" i="51"/>
  <c r="WF48" i="51"/>
  <c r="WE48" i="51"/>
  <c r="WD48" i="51"/>
  <c r="WC48" i="51"/>
  <c r="WB48" i="51"/>
  <c r="WA48" i="51"/>
  <c r="VZ48" i="51"/>
  <c r="VY48" i="51"/>
  <c r="VX48" i="51"/>
  <c r="VW48" i="51"/>
  <c r="VV48" i="51"/>
  <c r="VU48" i="51"/>
  <c r="VT48" i="51"/>
  <c r="VS48" i="51"/>
  <c r="VR48" i="51"/>
  <c r="VQ48" i="51"/>
  <c r="VP48" i="51"/>
  <c r="VO48" i="51"/>
  <c r="VN48" i="51"/>
  <c r="VM48" i="51"/>
  <c r="VL48" i="51"/>
  <c r="VK48" i="51"/>
  <c r="VJ48" i="51"/>
  <c r="VI48" i="51"/>
  <c r="VH48" i="51"/>
  <c r="VG48" i="51"/>
  <c r="VF48" i="51"/>
  <c r="VE48" i="51"/>
  <c r="VD48" i="51"/>
  <c r="VC48" i="51"/>
  <c r="VB48" i="51"/>
  <c r="VA48" i="51"/>
  <c r="UZ48" i="51"/>
  <c r="UY48" i="51"/>
  <c r="UX48" i="51"/>
  <c r="UW48" i="51"/>
  <c r="UV48" i="51"/>
  <c r="UU48" i="51"/>
  <c r="UT48" i="51"/>
  <c r="US48" i="51"/>
  <c r="UR48" i="51"/>
  <c r="UQ48" i="51"/>
  <c r="UP48" i="51"/>
  <c r="UO48" i="51"/>
  <c r="UN48" i="51"/>
  <c r="UM48" i="51"/>
  <c r="UL48" i="51"/>
  <c r="UK48" i="51"/>
  <c r="UJ48" i="51"/>
  <c r="UI48" i="51"/>
  <c r="UH48" i="51"/>
  <c r="UG48" i="51"/>
  <c r="UF48" i="51"/>
  <c r="UE48" i="51"/>
  <c r="UD48" i="51"/>
  <c r="UC48" i="51"/>
  <c r="UB48" i="51"/>
  <c r="UA48" i="51"/>
  <c r="TZ48" i="51"/>
  <c r="TY48" i="51"/>
  <c r="TX48" i="51"/>
  <c r="TW48" i="51"/>
  <c r="TV48" i="51"/>
  <c r="TU48" i="51"/>
  <c r="TT48" i="51"/>
  <c r="TS48" i="51"/>
  <c r="TR48" i="51"/>
  <c r="TQ48" i="51"/>
  <c r="TP48" i="51"/>
  <c r="TO48" i="51"/>
  <c r="TN48" i="51"/>
  <c r="TM48" i="51"/>
  <c r="TL48" i="51"/>
  <c r="TK48" i="51"/>
  <c r="TJ48" i="51"/>
  <c r="TI48" i="51"/>
  <c r="TH48" i="51"/>
  <c r="TG48" i="51"/>
  <c r="TF48" i="51"/>
  <c r="TE48" i="51"/>
  <c r="TD48" i="51"/>
  <c r="TC48" i="51"/>
  <c r="TB48" i="51"/>
  <c r="TA48" i="51"/>
  <c r="SZ48" i="51"/>
  <c r="SY48" i="51"/>
  <c r="SX48" i="51"/>
  <c r="SW48" i="51"/>
  <c r="SV48" i="51"/>
  <c r="SU48" i="51"/>
  <c r="ST48" i="51"/>
  <c r="SS48" i="51"/>
  <c r="SR48" i="51"/>
  <c r="SQ48" i="51"/>
  <c r="SP48" i="51"/>
  <c r="SO48" i="51"/>
  <c r="SN48" i="51"/>
  <c r="SM48" i="51"/>
  <c r="SL48" i="51"/>
  <c r="SK48" i="51"/>
  <c r="SJ48" i="51"/>
  <c r="SI48" i="51"/>
  <c r="SH48" i="51"/>
  <c r="SG48" i="51"/>
  <c r="SF48" i="51"/>
  <c r="SE48" i="51"/>
  <c r="SD48" i="51"/>
  <c r="SC48" i="51"/>
  <c r="SB48" i="51"/>
  <c r="SA48" i="51"/>
  <c r="RZ48" i="51"/>
  <c r="RY48" i="51"/>
  <c r="RX48" i="51"/>
  <c r="RW48" i="51"/>
  <c r="RV48" i="51"/>
  <c r="RU48" i="51"/>
  <c r="RT48" i="51"/>
  <c r="RS48" i="51"/>
  <c r="RR48" i="51"/>
  <c r="RQ48" i="51"/>
  <c r="RP48" i="51"/>
  <c r="RO48" i="51"/>
  <c r="RN48" i="51"/>
  <c r="RM48" i="51"/>
  <c r="RL48" i="51"/>
  <c r="RK48" i="51"/>
  <c r="RJ48" i="51"/>
  <c r="RI48" i="51"/>
  <c r="RH48" i="51"/>
  <c r="RG48" i="51"/>
  <c r="RF48" i="51"/>
  <c r="RE48" i="51"/>
  <c r="RD48" i="51"/>
  <c r="RC48" i="51"/>
  <c r="RB48" i="51"/>
  <c r="RA48" i="51"/>
  <c r="QZ48" i="51"/>
  <c r="QY48" i="51"/>
  <c r="QX48" i="51"/>
  <c r="QW48" i="51"/>
  <c r="QV48" i="51"/>
  <c r="QU48" i="51"/>
  <c r="QT48" i="51"/>
  <c r="QS48" i="51"/>
  <c r="QR48" i="51"/>
  <c r="QQ48" i="51"/>
  <c r="QP48" i="51"/>
  <c r="QO48" i="51"/>
  <c r="QN48" i="51"/>
  <c r="QM48" i="51"/>
  <c r="QL48" i="51"/>
  <c r="QK48" i="51"/>
  <c r="QJ48" i="51"/>
  <c r="QI48" i="51"/>
  <c r="QH48" i="51"/>
  <c r="QG48" i="51"/>
  <c r="QF48" i="51"/>
  <c r="QE48" i="51"/>
  <c r="QD48" i="51"/>
  <c r="QC48" i="51"/>
  <c r="QB48" i="51"/>
  <c r="QA48" i="51"/>
  <c r="PZ48" i="51"/>
  <c r="PY48" i="51"/>
  <c r="PX48" i="51"/>
  <c r="PW48" i="51"/>
  <c r="PV48" i="51"/>
  <c r="PU48" i="51"/>
  <c r="PT48" i="51"/>
  <c r="PS48" i="51"/>
  <c r="PR48" i="51"/>
  <c r="PQ48" i="51"/>
  <c r="PP48" i="51"/>
  <c r="PO48" i="51"/>
  <c r="PN48" i="51"/>
  <c r="PM48" i="51"/>
  <c r="PL48" i="51"/>
  <c r="PK48" i="51"/>
  <c r="PJ48" i="51"/>
  <c r="PI48" i="51"/>
  <c r="PH48" i="51"/>
  <c r="PG48" i="51"/>
  <c r="PF48" i="51"/>
  <c r="PE48" i="51"/>
  <c r="PD48" i="51"/>
  <c r="PC48" i="51"/>
  <c r="PB48" i="51"/>
  <c r="PA48" i="51"/>
  <c r="OZ48" i="51"/>
  <c r="OY48" i="51"/>
  <c r="OX48" i="51"/>
  <c r="OW48" i="51"/>
  <c r="OV48" i="51"/>
  <c r="OU48" i="51"/>
  <c r="OT48" i="51"/>
  <c r="OS48" i="51"/>
  <c r="OR48" i="51"/>
  <c r="OQ48" i="51"/>
  <c r="OP48" i="51"/>
  <c r="OO48" i="51"/>
  <c r="ON48" i="51"/>
  <c r="OM48" i="51"/>
  <c r="OL48" i="51"/>
  <c r="OK48" i="51"/>
  <c r="OJ48" i="51"/>
  <c r="OI48" i="51"/>
  <c r="OH48" i="51"/>
  <c r="OG48" i="51"/>
  <c r="OF48" i="51"/>
  <c r="OE48" i="51"/>
  <c r="OD48" i="51"/>
  <c r="OC48" i="51"/>
  <c r="OB48" i="51"/>
  <c r="OA48" i="51"/>
  <c r="NZ48" i="51"/>
  <c r="NY48" i="51"/>
  <c r="NX48" i="51"/>
  <c r="NW48" i="51"/>
  <c r="NV48" i="51"/>
  <c r="NU48" i="51"/>
  <c r="NT48" i="51"/>
  <c r="NS48" i="51"/>
  <c r="NR48" i="51"/>
  <c r="NQ48" i="51"/>
  <c r="NP48" i="51"/>
  <c r="NO48" i="51"/>
  <c r="NN48" i="51"/>
  <c r="NM48" i="51"/>
  <c r="NL48" i="51"/>
  <c r="NK48" i="51"/>
  <c r="NJ48" i="51"/>
  <c r="NI48" i="51"/>
  <c r="NH48" i="51"/>
  <c r="NG48" i="51"/>
  <c r="NF48" i="51"/>
  <c r="NE48" i="51"/>
  <c r="ND48" i="51"/>
  <c r="NC48" i="51"/>
  <c r="NB48" i="51"/>
  <c r="NA48" i="51"/>
  <c r="MZ48" i="51"/>
  <c r="MY48" i="51"/>
  <c r="MX48" i="51"/>
  <c r="MW48" i="51"/>
  <c r="MV48" i="51"/>
  <c r="MU48" i="51"/>
  <c r="MT48" i="51"/>
  <c r="MS48" i="51"/>
  <c r="MR48" i="51"/>
  <c r="MQ48" i="51"/>
  <c r="MP48" i="51"/>
  <c r="MO48" i="51"/>
  <c r="MN48" i="51"/>
  <c r="MM48" i="51"/>
  <c r="ML48" i="51"/>
  <c r="MK48" i="51"/>
  <c r="MJ48" i="51"/>
  <c r="MI48" i="51"/>
  <c r="MH48" i="51"/>
  <c r="MG48" i="51"/>
  <c r="MF48" i="51"/>
  <c r="ME48" i="51"/>
  <c r="MD48" i="51"/>
  <c r="MC48" i="51"/>
  <c r="MB48" i="51"/>
  <c r="MA48" i="51"/>
  <c r="LZ48" i="51"/>
  <c r="LY48" i="51"/>
  <c r="LX48" i="51"/>
  <c r="LW48" i="51"/>
  <c r="LV48" i="51"/>
  <c r="LU48" i="51"/>
  <c r="LT48" i="51"/>
  <c r="LS48" i="51"/>
  <c r="LR48" i="51"/>
  <c r="LQ48" i="51"/>
  <c r="LP48" i="51"/>
  <c r="LO48" i="51"/>
  <c r="LN48" i="51"/>
  <c r="LM48" i="51"/>
  <c r="LL48" i="51"/>
  <c r="LK48" i="51"/>
  <c r="LJ48" i="51"/>
  <c r="LI48" i="51"/>
  <c r="LH48" i="51"/>
  <c r="LG48" i="51"/>
  <c r="LF48" i="51"/>
  <c r="LE48" i="51"/>
  <c r="LD48" i="51"/>
  <c r="LC48" i="51"/>
  <c r="LB48" i="51"/>
  <c r="LA48" i="51"/>
  <c r="KZ48" i="51"/>
  <c r="KY48" i="51"/>
  <c r="KX48" i="51"/>
  <c r="KW48" i="51"/>
  <c r="KV48" i="51"/>
  <c r="KU48" i="51"/>
  <c r="KT48" i="51"/>
  <c r="KS48" i="51"/>
  <c r="KR48" i="51"/>
  <c r="KQ48" i="51"/>
  <c r="KP48" i="51"/>
  <c r="KO48" i="51"/>
  <c r="KN48" i="51"/>
  <c r="KM48" i="51"/>
  <c r="KL48" i="51"/>
  <c r="KK48" i="51"/>
  <c r="KJ48" i="51"/>
  <c r="KI48" i="51"/>
  <c r="KH48" i="51"/>
  <c r="KG48" i="51"/>
  <c r="KF48" i="51"/>
  <c r="KE48" i="51"/>
  <c r="KD48" i="51"/>
  <c r="KC48" i="51"/>
  <c r="KB48" i="51"/>
  <c r="KA48" i="51"/>
  <c r="JZ48" i="51"/>
  <c r="JY48" i="51"/>
  <c r="JX48" i="51"/>
  <c r="JW48" i="51"/>
  <c r="JV48" i="51"/>
  <c r="JU48" i="51"/>
  <c r="JT48" i="51"/>
  <c r="JS48" i="51"/>
  <c r="JR48" i="51"/>
  <c r="JQ48" i="51"/>
  <c r="JP48" i="51"/>
  <c r="JO48" i="51"/>
  <c r="JN48" i="51"/>
  <c r="JM48" i="51"/>
  <c r="JL48" i="51"/>
  <c r="JK48" i="51"/>
  <c r="JJ48" i="51"/>
  <c r="JI48" i="51"/>
  <c r="JH48" i="51"/>
  <c r="JG48" i="51"/>
  <c r="JF48" i="51"/>
  <c r="JE48" i="51"/>
  <c r="JD48" i="51"/>
  <c r="JC48" i="51"/>
  <c r="JB48" i="51"/>
  <c r="JA48" i="51"/>
  <c r="IZ48" i="51"/>
  <c r="IY48" i="51"/>
  <c r="IX48" i="51"/>
  <c r="IW48" i="51"/>
  <c r="IV48" i="51"/>
  <c r="IU48" i="51"/>
  <c r="IT48" i="51"/>
  <c r="IS48" i="51"/>
  <c r="IR48" i="51"/>
  <c r="IQ48" i="51"/>
  <c r="IP48" i="51"/>
  <c r="IO48" i="51"/>
  <c r="IN48" i="51"/>
  <c r="IM48" i="51"/>
  <c r="IL48" i="51"/>
  <c r="IK48" i="51"/>
  <c r="IJ48" i="51"/>
  <c r="II48" i="51"/>
  <c r="IH48" i="51"/>
  <c r="IG48" i="51"/>
  <c r="IF48" i="51"/>
  <c r="IE48" i="51"/>
  <c r="ID48" i="51"/>
  <c r="IC48" i="51"/>
  <c r="IB48" i="51"/>
  <c r="IA48" i="51"/>
  <c r="HZ48" i="51"/>
  <c r="HY48" i="51"/>
  <c r="HX48" i="51"/>
  <c r="HW48" i="51"/>
  <c r="HV48" i="51"/>
  <c r="HU48" i="51"/>
  <c r="HT48" i="51"/>
  <c r="HS48" i="51"/>
  <c r="HR48" i="51"/>
  <c r="HQ48" i="51"/>
  <c r="HP48" i="51"/>
  <c r="HO48" i="51"/>
  <c r="HN48" i="51"/>
  <c r="HM48" i="51"/>
  <c r="HL48" i="51"/>
  <c r="HK48" i="51"/>
  <c r="HJ48" i="51"/>
  <c r="HI48" i="51"/>
  <c r="HH48" i="51"/>
  <c r="HG48" i="51"/>
  <c r="HF48" i="51"/>
  <c r="HE48" i="51"/>
  <c r="HD48" i="51"/>
  <c r="HC48" i="51"/>
  <c r="HB48" i="51"/>
  <c r="HA48" i="51"/>
  <c r="GZ48" i="51"/>
  <c r="GY48" i="51"/>
  <c r="GX48" i="51"/>
  <c r="GW48" i="51"/>
  <c r="GV48" i="51"/>
  <c r="GU48" i="51"/>
  <c r="GT48" i="51"/>
  <c r="GS48" i="51"/>
  <c r="GR48" i="51"/>
  <c r="GQ48" i="51"/>
  <c r="GP48" i="51"/>
  <c r="GO48" i="51"/>
  <c r="GN48" i="51"/>
  <c r="GM48" i="51"/>
  <c r="GL48" i="51"/>
  <c r="GK48" i="51"/>
  <c r="GJ48" i="51"/>
  <c r="GI48" i="51"/>
  <c r="GH48" i="51"/>
  <c r="GG48" i="51"/>
  <c r="GF48" i="51"/>
  <c r="GE48" i="51"/>
  <c r="GD48" i="51"/>
  <c r="GC48" i="51"/>
  <c r="GB48" i="51"/>
  <c r="GA48" i="51"/>
  <c r="FZ48" i="51"/>
  <c r="FY48" i="51"/>
  <c r="FX48" i="51"/>
  <c r="FW48" i="51"/>
  <c r="FV48" i="51"/>
  <c r="FU48" i="51"/>
  <c r="FT48" i="51"/>
  <c r="FS48" i="51"/>
  <c r="FR48" i="51"/>
  <c r="FQ48" i="51"/>
  <c r="FP48" i="51"/>
  <c r="FO48" i="51"/>
  <c r="FN48" i="51"/>
  <c r="FM48" i="51"/>
  <c r="FL48" i="51"/>
  <c r="FK48" i="51"/>
  <c r="FJ48" i="51"/>
  <c r="FI48" i="51"/>
  <c r="FH48" i="51"/>
  <c r="FG48" i="51"/>
  <c r="FF48" i="51"/>
  <c r="FE48" i="51"/>
  <c r="FD48" i="51"/>
  <c r="FC48" i="51"/>
  <c r="FB48" i="51"/>
  <c r="FA48" i="51"/>
  <c r="EZ48" i="51"/>
  <c r="EY48" i="51"/>
  <c r="EX48" i="51"/>
  <c r="EW48" i="51"/>
  <c r="EV48" i="51"/>
  <c r="EU48" i="51"/>
  <c r="ET48" i="51"/>
  <c r="ES48" i="51"/>
  <c r="ER48" i="51"/>
  <c r="EQ48" i="51"/>
  <c r="EP48" i="51"/>
  <c r="EO48" i="51"/>
  <c r="EN48" i="51"/>
  <c r="EM48" i="51"/>
  <c r="EL48" i="51"/>
  <c r="EK48" i="51"/>
  <c r="EJ48" i="51"/>
  <c r="EI48" i="51"/>
  <c r="EH48" i="51"/>
  <c r="EG48" i="51"/>
  <c r="EF48" i="51"/>
  <c r="EE48" i="51"/>
  <c r="ED48" i="51"/>
  <c r="EC48" i="51"/>
  <c r="EB48" i="51"/>
  <c r="EA48" i="51"/>
  <c r="DZ48" i="51"/>
  <c r="DY48" i="51"/>
  <c r="DX48" i="51"/>
  <c r="DW48" i="51"/>
  <c r="DV48" i="51"/>
  <c r="DU48" i="51"/>
  <c r="DT48" i="51"/>
  <c r="DS48" i="51"/>
  <c r="DR48" i="51"/>
  <c r="DQ48" i="51"/>
  <c r="DP48" i="51"/>
  <c r="DO48" i="51"/>
  <c r="DN48" i="51"/>
  <c r="DM48" i="51"/>
  <c r="DL48" i="51"/>
  <c r="DK48" i="51"/>
  <c r="DJ48" i="51"/>
  <c r="DI48" i="51"/>
  <c r="DH48" i="51"/>
  <c r="DG48" i="51"/>
  <c r="DF48" i="51"/>
  <c r="DE48" i="51"/>
  <c r="DD48" i="51"/>
  <c r="DC48" i="51"/>
  <c r="DB48" i="51"/>
  <c r="DA48" i="51"/>
  <c r="CZ48" i="51"/>
  <c r="CY48" i="51"/>
  <c r="CX48" i="51"/>
  <c r="CW48" i="51"/>
  <c r="CV48" i="51"/>
  <c r="CU48" i="51"/>
  <c r="CT48" i="51"/>
  <c r="CS48" i="51"/>
  <c r="CR48" i="51"/>
  <c r="CQ48" i="51"/>
  <c r="CP48" i="51"/>
  <c r="CO48" i="51"/>
  <c r="CN48" i="51"/>
  <c r="CM48" i="51"/>
  <c r="CL48" i="51"/>
  <c r="CK48" i="51"/>
  <c r="CJ48" i="51"/>
  <c r="CI48" i="51"/>
  <c r="CH48" i="51"/>
  <c r="CG48" i="51"/>
  <c r="CF48" i="51"/>
  <c r="CE48" i="51"/>
  <c r="CD48" i="51"/>
  <c r="CC48" i="51"/>
  <c r="CB48" i="51"/>
  <c r="CA48" i="51"/>
  <c r="BZ48" i="51"/>
  <c r="BY48" i="51"/>
  <c r="BX48" i="51"/>
  <c r="BW48" i="51"/>
  <c r="BV48" i="51"/>
  <c r="BU48" i="51"/>
  <c r="BT48" i="51"/>
  <c r="BS48" i="51"/>
  <c r="BR48" i="51"/>
  <c r="BQ48" i="51"/>
  <c r="BP48" i="51"/>
  <c r="BO48" i="51"/>
  <c r="BN48" i="51"/>
  <c r="BM48" i="51"/>
  <c r="BL48" i="51"/>
  <c r="BK48" i="51"/>
  <c r="BJ48" i="51"/>
  <c r="BI48" i="51"/>
  <c r="BH48" i="51"/>
  <c r="BG48" i="51"/>
  <c r="BF48" i="51"/>
  <c r="BE48" i="51"/>
  <c r="BD48" i="51"/>
  <c r="BC48" i="51"/>
  <c r="BB48" i="51"/>
  <c r="BA48" i="51"/>
  <c r="AZ48" i="51"/>
  <c r="AY48" i="51"/>
  <c r="AX48" i="51"/>
  <c r="AW48" i="51"/>
  <c r="AV48" i="51"/>
  <c r="AU48" i="51"/>
  <c r="AT48" i="51"/>
  <c r="AS48" i="51"/>
  <c r="AR48" i="51"/>
  <c r="AQ48" i="51"/>
  <c r="AP48" i="51"/>
  <c r="AO48" i="51"/>
  <c r="AN48" i="51"/>
  <c r="AM48" i="51"/>
  <c r="AL48" i="51"/>
  <c r="AK48" i="51"/>
  <c r="AJ48" i="51"/>
  <c r="AI48" i="51"/>
  <c r="AH48" i="51"/>
  <c r="AG48" i="51"/>
  <c r="AF48" i="51"/>
  <c r="AE48" i="51"/>
  <c r="AD48" i="51"/>
  <c r="AC48" i="51"/>
  <c r="AB48" i="51"/>
  <c r="AA48" i="51"/>
  <c r="Z48" i="51"/>
  <c r="Y48" i="51"/>
  <c r="X48" i="51"/>
  <c r="W48" i="51"/>
  <c r="V48" i="51"/>
  <c r="U48" i="51"/>
  <c r="T48" i="51"/>
  <c r="S48" i="51"/>
  <c r="R48" i="51"/>
  <c r="Q48" i="51"/>
  <c r="P48" i="51"/>
  <c r="O48" i="51"/>
  <c r="N48" i="51"/>
  <c r="M48" i="51"/>
  <c r="L48" i="51"/>
  <c r="K48" i="51"/>
  <c r="J48" i="51"/>
  <c r="I48" i="51"/>
  <c r="H48" i="51"/>
  <c r="G48" i="51"/>
  <c r="F48" i="51"/>
  <c r="ZL47" i="51"/>
  <c r="C47" i="51"/>
  <c r="B47" i="51"/>
  <c r="A47" i="51"/>
  <c r="ZL46" i="51"/>
  <c r="ZL45" i="51"/>
  <c r="ZL44" i="51"/>
  <c r="ZL43" i="51"/>
  <c r="ZL42" i="51"/>
  <c r="ZL41" i="51"/>
  <c r="F41" i="51"/>
  <c r="ZL40" i="51"/>
  <c r="XM40" i="51"/>
  <c r="XL40" i="51"/>
  <c r="XK40" i="51"/>
  <c r="XJ40" i="51"/>
  <c r="XI40" i="51"/>
  <c r="XH40" i="51"/>
  <c r="XG40" i="51"/>
  <c r="XF40" i="51"/>
  <c r="XE40" i="51"/>
  <c r="XD40" i="51"/>
  <c r="XC40" i="51"/>
  <c r="XB40" i="51"/>
  <c r="XA40" i="51"/>
  <c r="WZ40" i="51"/>
  <c r="WY40" i="51"/>
  <c r="WX40" i="51"/>
  <c r="WW40" i="51"/>
  <c r="WV40" i="51"/>
  <c r="WU40" i="51"/>
  <c r="WT40" i="51"/>
  <c r="WS40" i="51"/>
  <c r="WR40" i="51"/>
  <c r="WQ40" i="51"/>
  <c r="WP40" i="51"/>
  <c r="WO40" i="51"/>
  <c r="WN40" i="51"/>
  <c r="WM40" i="51"/>
  <c r="WL40" i="51"/>
  <c r="WK40" i="51"/>
  <c r="WJ40" i="51"/>
  <c r="WI40" i="51"/>
  <c r="WH40" i="51"/>
  <c r="WG40" i="51"/>
  <c r="WF40" i="51"/>
  <c r="WE40" i="51"/>
  <c r="WD40" i="51"/>
  <c r="WC40" i="51"/>
  <c r="WB40" i="51"/>
  <c r="WA40" i="51"/>
  <c r="VZ40" i="51"/>
  <c r="VY40" i="51"/>
  <c r="VX40" i="51"/>
  <c r="VW40" i="51"/>
  <c r="VV40" i="51"/>
  <c r="VU40" i="51"/>
  <c r="VT40" i="51"/>
  <c r="VS40" i="51"/>
  <c r="VR40" i="51"/>
  <c r="VQ40" i="51"/>
  <c r="VP40" i="51"/>
  <c r="VO40" i="51"/>
  <c r="VN40" i="51"/>
  <c r="VM40" i="51"/>
  <c r="VL40" i="51"/>
  <c r="VK40" i="51"/>
  <c r="VJ40" i="51"/>
  <c r="VI40" i="51"/>
  <c r="VH40" i="51"/>
  <c r="VG40" i="51"/>
  <c r="VF40" i="51"/>
  <c r="VE40" i="51"/>
  <c r="VD40" i="51"/>
  <c r="VC40" i="51"/>
  <c r="VB40" i="51"/>
  <c r="VA40" i="51"/>
  <c r="UZ40" i="51"/>
  <c r="UY40" i="51"/>
  <c r="UX40" i="51"/>
  <c r="UW40" i="51"/>
  <c r="UV40" i="51"/>
  <c r="UU40" i="51"/>
  <c r="UT40" i="51"/>
  <c r="US40" i="51"/>
  <c r="UR40" i="51"/>
  <c r="UQ40" i="51"/>
  <c r="UP40" i="51"/>
  <c r="UO40" i="51"/>
  <c r="UN40" i="51"/>
  <c r="UM40" i="51"/>
  <c r="UL40" i="51"/>
  <c r="UK40" i="51"/>
  <c r="UJ40" i="51"/>
  <c r="UI40" i="51"/>
  <c r="UH40" i="51"/>
  <c r="UG40" i="51"/>
  <c r="UF40" i="51"/>
  <c r="UE40" i="51"/>
  <c r="UD40" i="51"/>
  <c r="UC40" i="51"/>
  <c r="UB40" i="51"/>
  <c r="UA40" i="51"/>
  <c r="TZ40" i="51"/>
  <c r="TY40" i="51"/>
  <c r="TX40" i="51"/>
  <c r="TW40" i="51"/>
  <c r="TV40" i="51"/>
  <c r="TU40" i="51"/>
  <c r="TT40" i="51"/>
  <c r="TS40" i="51"/>
  <c r="TR40" i="51"/>
  <c r="TQ40" i="51"/>
  <c r="TP40" i="51"/>
  <c r="TO40" i="51"/>
  <c r="TN40" i="51"/>
  <c r="TM40" i="51"/>
  <c r="TL40" i="51"/>
  <c r="TK40" i="51"/>
  <c r="TJ40" i="51"/>
  <c r="TI40" i="51"/>
  <c r="TH40" i="51"/>
  <c r="TG40" i="51"/>
  <c r="TF40" i="51"/>
  <c r="TE40" i="51"/>
  <c r="TD40" i="51"/>
  <c r="TC40" i="51"/>
  <c r="TB40" i="51"/>
  <c r="TA40" i="51"/>
  <c r="SZ40" i="51"/>
  <c r="SY40" i="51"/>
  <c r="SX40" i="51"/>
  <c r="SW40" i="51"/>
  <c r="SV40" i="51"/>
  <c r="SU40" i="51"/>
  <c r="ST40" i="51"/>
  <c r="SS40" i="51"/>
  <c r="SR40" i="51"/>
  <c r="SQ40" i="51"/>
  <c r="SP40" i="51"/>
  <c r="SO40" i="51"/>
  <c r="SN40" i="51"/>
  <c r="SM40" i="51"/>
  <c r="SL40" i="51"/>
  <c r="SK40" i="51"/>
  <c r="SJ40" i="51"/>
  <c r="SI40" i="51"/>
  <c r="SH40" i="51"/>
  <c r="SG40" i="51"/>
  <c r="SF40" i="51"/>
  <c r="SE40" i="51"/>
  <c r="SD40" i="51"/>
  <c r="SC40" i="51"/>
  <c r="SB40" i="51"/>
  <c r="SA40" i="51"/>
  <c r="RZ40" i="51"/>
  <c r="RY40" i="51"/>
  <c r="RX40" i="51"/>
  <c r="RW40" i="51"/>
  <c r="RV40" i="51"/>
  <c r="RU40" i="51"/>
  <c r="RT40" i="51"/>
  <c r="RS40" i="51"/>
  <c r="RR40" i="51"/>
  <c r="RQ40" i="51"/>
  <c r="RP40" i="51"/>
  <c r="RO40" i="51"/>
  <c r="RN40" i="51"/>
  <c r="RM40" i="51"/>
  <c r="RL40" i="51"/>
  <c r="RK40" i="51"/>
  <c r="RJ40" i="51"/>
  <c r="RI40" i="51"/>
  <c r="RH40" i="51"/>
  <c r="RG40" i="51"/>
  <c r="RF40" i="51"/>
  <c r="RE40" i="51"/>
  <c r="RD40" i="51"/>
  <c r="RC40" i="51"/>
  <c r="RB40" i="51"/>
  <c r="RA40" i="51"/>
  <c r="QZ40" i="51"/>
  <c r="QY40" i="51"/>
  <c r="QX40" i="51"/>
  <c r="QW40" i="51"/>
  <c r="QV40" i="51"/>
  <c r="QU40" i="51"/>
  <c r="QT40" i="51"/>
  <c r="QS40" i="51"/>
  <c r="QR40" i="51"/>
  <c r="QQ40" i="51"/>
  <c r="QP40" i="51"/>
  <c r="QO40" i="51"/>
  <c r="QN40" i="51"/>
  <c r="QM40" i="51"/>
  <c r="QL40" i="51"/>
  <c r="QK40" i="51"/>
  <c r="QJ40" i="51"/>
  <c r="QI40" i="51"/>
  <c r="QH40" i="51"/>
  <c r="QG40" i="51"/>
  <c r="QF40" i="51"/>
  <c r="QE40" i="51"/>
  <c r="QD40" i="51"/>
  <c r="QC40" i="51"/>
  <c r="QB40" i="51"/>
  <c r="QA40" i="51"/>
  <c r="PZ40" i="51"/>
  <c r="PY40" i="51"/>
  <c r="PX40" i="51"/>
  <c r="PW40" i="51"/>
  <c r="PV40" i="51"/>
  <c r="PU40" i="51"/>
  <c r="PT40" i="51"/>
  <c r="PS40" i="51"/>
  <c r="PR40" i="51"/>
  <c r="PQ40" i="51"/>
  <c r="PP40" i="51"/>
  <c r="PO40" i="51"/>
  <c r="PN40" i="51"/>
  <c r="PM40" i="51"/>
  <c r="PL40" i="51"/>
  <c r="PK40" i="51"/>
  <c r="PJ40" i="51"/>
  <c r="PI40" i="51"/>
  <c r="PH40" i="51"/>
  <c r="PG40" i="51"/>
  <c r="PF40" i="51"/>
  <c r="PE40" i="51"/>
  <c r="PD40" i="51"/>
  <c r="PC40" i="51"/>
  <c r="PB40" i="51"/>
  <c r="PA40" i="51"/>
  <c r="OZ40" i="51"/>
  <c r="OY40" i="51"/>
  <c r="OX40" i="51"/>
  <c r="OW40" i="51"/>
  <c r="OV40" i="51"/>
  <c r="OU40" i="51"/>
  <c r="OT40" i="51"/>
  <c r="OS40" i="51"/>
  <c r="OR40" i="51"/>
  <c r="OQ40" i="51"/>
  <c r="OP40" i="51"/>
  <c r="OO40" i="51"/>
  <c r="ON40" i="51"/>
  <c r="OM40" i="51"/>
  <c r="OL40" i="51"/>
  <c r="OK40" i="51"/>
  <c r="OJ40" i="51"/>
  <c r="OI40" i="51"/>
  <c r="OH40" i="51"/>
  <c r="OG40" i="51"/>
  <c r="OF40" i="51"/>
  <c r="OE40" i="51"/>
  <c r="OD40" i="51"/>
  <c r="OC40" i="51"/>
  <c r="OB40" i="51"/>
  <c r="OA40" i="51"/>
  <c r="NZ40" i="51"/>
  <c r="NY40" i="51"/>
  <c r="NX40" i="51"/>
  <c r="NW40" i="51"/>
  <c r="NV40" i="51"/>
  <c r="NU40" i="51"/>
  <c r="NT40" i="51"/>
  <c r="NS40" i="51"/>
  <c r="NR40" i="51"/>
  <c r="NQ40" i="51"/>
  <c r="NP40" i="51"/>
  <c r="NO40" i="51"/>
  <c r="NN40" i="51"/>
  <c r="NM40" i="51"/>
  <c r="NL40" i="51"/>
  <c r="NK40" i="51"/>
  <c r="NJ40" i="51"/>
  <c r="NI40" i="51"/>
  <c r="NH40" i="51"/>
  <c r="NG40" i="51"/>
  <c r="NF40" i="51"/>
  <c r="NE40" i="51"/>
  <c r="ND40" i="51"/>
  <c r="NC40" i="51"/>
  <c r="NB40" i="51"/>
  <c r="NA40" i="51"/>
  <c r="MZ40" i="51"/>
  <c r="MY40" i="51"/>
  <c r="MX40" i="51"/>
  <c r="MW40" i="51"/>
  <c r="MV40" i="51"/>
  <c r="MU40" i="51"/>
  <c r="MT40" i="51"/>
  <c r="MS40" i="51"/>
  <c r="MR40" i="51"/>
  <c r="MQ40" i="51"/>
  <c r="MP40" i="51"/>
  <c r="MO40" i="51"/>
  <c r="MN40" i="51"/>
  <c r="MM40" i="51"/>
  <c r="ML40" i="51"/>
  <c r="MK40" i="51"/>
  <c r="MJ40" i="51"/>
  <c r="MI40" i="51"/>
  <c r="MH40" i="51"/>
  <c r="MG40" i="51"/>
  <c r="MF40" i="51"/>
  <c r="ME40" i="51"/>
  <c r="MD40" i="51"/>
  <c r="MC40" i="51"/>
  <c r="MB40" i="51"/>
  <c r="MA40" i="51"/>
  <c r="LZ40" i="51"/>
  <c r="LY40" i="51"/>
  <c r="LX40" i="51"/>
  <c r="LW40" i="51"/>
  <c r="LV40" i="51"/>
  <c r="LU40" i="51"/>
  <c r="LT40" i="51"/>
  <c r="LS40" i="51"/>
  <c r="LR40" i="51"/>
  <c r="LQ40" i="51"/>
  <c r="LP40" i="51"/>
  <c r="LO40" i="51"/>
  <c r="LN40" i="51"/>
  <c r="LM40" i="51"/>
  <c r="LL40" i="51"/>
  <c r="LK40" i="51"/>
  <c r="LJ40" i="51"/>
  <c r="LI40" i="51"/>
  <c r="LH40" i="51"/>
  <c r="LG40" i="51"/>
  <c r="LF40" i="51"/>
  <c r="LE40" i="51"/>
  <c r="LD40" i="51"/>
  <c r="LC40" i="51"/>
  <c r="LB40" i="51"/>
  <c r="LA40" i="51"/>
  <c r="KZ40" i="51"/>
  <c r="KY40" i="51"/>
  <c r="KX40" i="51"/>
  <c r="KW40" i="51"/>
  <c r="KV40" i="51"/>
  <c r="KU40" i="51"/>
  <c r="KT40" i="51"/>
  <c r="KS40" i="51"/>
  <c r="KR40" i="51"/>
  <c r="KQ40" i="51"/>
  <c r="KP40" i="51"/>
  <c r="KO40" i="51"/>
  <c r="KN40" i="51"/>
  <c r="KM40" i="51"/>
  <c r="KL40" i="51"/>
  <c r="KK40" i="51"/>
  <c r="KJ40" i="51"/>
  <c r="KI40" i="51"/>
  <c r="KH40" i="51"/>
  <c r="KG40" i="51"/>
  <c r="KF40" i="51"/>
  <c r="KE40" i="51"/>
  <c r="KD40" i="51"/>
  <c r="KC40" i="51"/>
  <c r="KB40" i="51"/>
  <c r="KA40" i="51"/>
  <c r="JZ40" i="51"/>
  <c r="JY40" i="51"/>
  <c r="JX40" i="51"/>
  <c r="JW40" i="51"/>
  <c r="JV40" i="51"/>
  <c r="JU40" i="51"/>
  <c r="JT40" i="51"/>
  <c r="JS40" i="51"/>
  <c r="JR40" i="51"/>
  <c r="JQ40" i="51"/>
  <c r="JP40" i="51"/>
  <c r="JO40" i="51"/>
  <c r="JN40" i="51"/>
  <c r="JM40" i="51"/>
  <c r="JL40" i="51"/>
  <c r="JK40" i="51"/>
  <c r="JJ40" i="51"/>
  <c r="JI40" i="51"/>
  <c r="JH40" i="51"/>
  <c r="JG40" i="51"/>
  <c r="JF40" i="51"/>
  <c r="JE40" i="51"/>
  <c r="JD40" i="51"/>
  <c r="JC40" i="51"/>
  <c r="JB40" i="51"/>
  <c r="JA40" i="51"/>
  <c r="IZ40" i="51"/>
  <c r="IY40" i="51"/>
  <c r="IX40" i="51"/>
  <c r="IW40" i="51"/>
  <c r="IV40" i="51"/>
  <c r="IU40" i="51"/>
  <c r="IT40" i="51"/>
  <c r="IS40" i="51"/>
  <c r="IR40" i="51"/>
  <c r="IQ40" i="51"/>
  <c r="IP40" i="51"/>
  <c r="IO40" i="51"/>
  <c r="IN40" i="51"/>
  <c r="IM40" i="51"/>
  <c r="IL40" i="51"/>
  <c r="IK40" i="51"/>
  <c r="IJ40" i="51"/>
  <c r="II40" i="51"/>
  <c r="IH40" i="51"/>
  <c r="IG40" i="51"/>
  <c r="IF40" i="51"/>
  <c r="IE40" i="51"/>
  <c r="ID40" i="51"/>
  <c r="IC40" i="51"/>
  <c r="IB40" i="51"/>
  <c r="IA40" i="51"/>
  <c r="HZ40" i="51"/>
  <c r="HY40" i="51"/>
  <c r="HX40" i="51"/>
  <c r="HW40" i="51"/>
  <c r="HV40" i="51"/>
  <c r="HU40" i="51"/>
  <c r="HT40" i="51"/>
  <c r="HS40" i="51"/>
  <c r="HR40" i="51"/>
  <c r="HQ40" i="51"/>
  <c r="HP40" i="51"/>
  <c r="HO40" i="51"/>
  <c r="HN40" i="51"/>
  <c r="HM40" i="51"/>
  <c r="HL40" i="51"/>
  <c r="HK40" i="51"/>
  <c r="HJ40" i="51"/>
  <c r="HI40" i="51"/>
  <c r="HH40" i="51"/>
  <c r="HG40" i="51"/>
  <c r="HF40" i="51"/>
  <c r="HE40" i="51"/>
  <c r="HD40" i="51"/>
  <c r="HC40" i="51"/>
  <c r="HB40" i="51"/>
  <c r="HA40" i="51"/>
  <c r="GZ40" i="51"/>
  <c r="GY40" i="51"/>
  <c r="GX40" i="51"/>
  <c r="GW40" i="51"/>
  <c r="GV40" i="51"/>
  <c r="GU40" i="51"/>
  <c r="GT40" i="51"/>
  <c r="GS40" i="51"/>
  <c r="GR40" i="51"/>
  <c r="GQ40" i="51"/>
  <c r="GP40" i="51"/>
  <c r="GO40" i="51"/>
  <c r="GN40" i="51"/>
  <c r="GM40" i="51"/>
  <c r="GL40" i="51"/>
  <c r="GK40" i="51"/>
  <c r="GJ40" i="51"/>
  <c r="GI40" i="51"/>
  <c r="GH40" i="51"/>
  <c r="GG40" i="51"/>
  <c r="GF40" i="51"/>
  <c r="GE40" i="51"/>
  <c r="GD40" i="51"/>
  <c r="GC40" i="51"/>
  <c r="GB40" i="51"/>
  <c r="GA40" i="51"/>
  <c r="FZ40" i="51"/>
  <c r="FY40" i="51"/>
  <c r="FX40" i="51"/>
  <c r="FW40" i="51"/>
  <c r="FV40" i="51"/>
  <c r="FU40" i="51"/>
  <c r="FT40" i="51"/>
  <c r="FS40" i="51"/>
  <c r="FR40" i="51"/>
  <c r="FQ40" i="51"/>
  <c r="FP40" i="51"/>
  <c r="FO40" i="51"/>
  <c r="FN40" i="51"/>
  <c r="FM40" i="51"/>
  <c r="FL40" i="51"/>
  <c r="FK40" i="51"/>
  <c r="FJ40" i="51"/>
  <c r="FI40" i="51"/>
  <c r="FH40" i="51"/>
  <c r="FG40" i="51"/>
  <c r="FF40" i="51"/>
  <c r="FE40" i="51"/>
  <c r="FD40" i="51"/>
  <c r="FC40" i="51"/>
  <c r="FB40" i="51"/>
  <c r="FA40" i="51"/>
  <c r="EZ40" i="51"/>
  <c r="EY40" i="51"/>
  <c r="EX40" i="51"/>
  <c r="EW40" i="51"/>
  <c r="EV40" i="51"/>
  <c r="EU40" i="51"/>
  <c r="ET40" i="51"/>
  <c r="ES40" i="51"/>
  <c r="ER40" i="51"/>
  <c r="EQ40" i="51"/>
  <c r="EP40" i="51"/>
  <c r="EO40" i="51"/>
  <c r="EN40" i="51"/>
  <c r="EM40" i="51"/>
  <c r="EL40" i="51"/>
  <c r="EK40" i="51"/>
  <c r="EJ40" i="51"/>
  <c r="EI40" i="51"/>
  <c r="EH40" i="51"/>
  <c r="EG40" i="51"/>
  <c r="EF40" i="51"/>
  <c r="EE40" i="51"/>
  <c r="ED40" i="51"/>
  <c r="EC40" i="51"/>
  <c r="EB40" i="51"/>
  <c r="EA40" i="51"/>
  <c r="DZ40" i="51"/>
  <c r="DY40" i="51"/>
  <c r="DX40" i="51"/>
  <c r="DW40" i="51"/>
  <c r="DV40" i="51"/>
  <c r="DU40" i="51"/>
  <c r="DT40" i="51"/>
  <c r="DS40" i="51"/>
  <c r="DR40" i="51"/>
  <c r="DQ40" i="51"/>
  <c r="DP40" i="51"/>
  <c r="DO40" i="51"/>
  <c r="DN40" i="51"/>
  <c r="DM40" i="51"/>
  <c r="DL40" i="51"/>
  <c r="DK40" i="51"/>
  <c r="DJ40" i="51"/>
  <c r="DI40" i="51"/>
  <c r="DH40" i="51"/>
  <c r="DG40" i="51"/>
  <c r="DF40" i="51"/>
  <c r="DE40" i="51"/>
  <c r="DD40" i="51"/>
  <c r="DC40" i="51"/>
  <c r="DB40" i="51"/>
  <c r="DA40" i="51"/>
  <c r="CZ40" i="51"/>
  <c r="CY40" i="51"/>
  <c r="CX40" i="51"/>
  <c r="CW40" i="51"/>
  <c r="CV40" i="51"/>
  <c r="CU40" i="51"/>
  <c r="CT40" i="51"/>
  <c r="CS40" i="51"/>
  <c r="CR40" i="51"/>
  <c r="CQ40" i="51"/>
  <c r="CP40" i="51"/>
  <c r="CO40" i="51"/>
  <c r="CN40" i="51"/>
  <c r="CM40" i="51"/>
  <c r="CL40" i="51"/>
  <c r="CK40" i="51"/>
  <c r="CJ40" i="51"/>
  <c r="CI40" i="51"/>
  <c r="CH40" i="51"/>
  <c r="CG40" i="51"/>
  <c r="CF40" i="51"/>
  <c r="CE40" i="51"/>
  <c r="CD40" i="51"/>
  <c r="CC40" i="51"/>
  <c r="CB40" i="51"/>
  <c r="CA40" i="51"/>
  <c r="BZ40" i="51"/>
  <c r="BY40" i="51"/>
  <c r="BX40" i="51"/>
  <c r="BW40" i="51"/>
  <c r="BV40" i="51"/>
  <c r="BU40" i="51"/>
  <c r="BT40" i="51"/>
  <c r="BS40" i="51"/>
  <c r="BR40" i="51"/>
  <c r="BQ40" i="51"/>
  <c r="BP40" i="51"/>
  <c r="BO40" i="51"/>
  <c r="BN40" i="51"/>
  <c r="BM40" i="51"/>
  <c r="BL40" i="51"/>
  <c r="BK40" i="51"/>
  <c r="BJ40" i="51"/>
  <c r="BI40" i="51"/>
  <c r="BH40" i="51"/>
  <c r="BG40" i="51"/>
  <c r="BF40" i="51"/>
  <c r="BE40" i="51"/>
  <c r="BD40" i="51"/>
  <c r="BC40" i="51"/>
  <c r="BB40" i="51"/>
  <c r="BA40" i="51"/>
  <c r="AZ40" i="51"/>
  <c r="AY40" i="51"/>
  <c r="AX40" i="51"/>
  <c r="AW40" i="51"/>
  <c r="AV40" i="51"/>
  <c r="AU40" i="51"/>
  <c r="AT40" i="51"/>
  <c r="AS40" i="51"/>
  <c r="AR40" i="51"/>
  <c r="AQ40" i="51"/>
  <c r="AP40" i="51"/>
  <c r="AO40" i="51"/>
  <c r="AN40" i="51"/>
  <c r="AM40" i="51"/>
  <c r="AL40" i="51"/>
  <c r="AK40" i="51"/>
  <c r="AJ40" i="51"/>
  <c r="AI40" i="51"/>
  <c r="AH40" i="51"/>
  <c r="AG40" i="51"/>
  <c r="AF40" i="51"/>
  <c r="AE40" i="51"/>
  <c r="AD40" i="51"/>
  <c r="AC40" i="51"/>
  <c r="AB40" i="51"/>
  <c r="AA40" i="51"/>
  <c r="Z40" i="51"/>
  <c r="Y40" i="51"/>
  <c r="X40" i="51"/>
  <c r="W40" i="51"/>
  <c r="V40" i="51"/>
  <c r="U40" i="51"/>
  <c r="T40" i="51"/>
  <c r="S40" i="51"/>
  <c r="R40" i="51"/>
  <c r="Q40" i="51"/>
  <c r="P40" i="51"/>
  <c r="O40" i="51"/>
  <c r="N40" i="51"/>
  <c r="M40" i="51"/>
  <c r="L40" i="51"/>
  <c r="K40" i="51"/>
  <c r="J40" i="51"/>
  <c r="I40" i="51"/>
  <c r="H40" i="51"/>
  <c r="G40" i="51"/>
  <c r="F40" i="51"/>
  <c r="ZL39" i="51"/>
  <c r="C39" i="51"/>
  <c r="B39" i="51"/>
  <c r="A39" i="51"/>
  <c r="ZL38" i="51"/>
  <c r="ZL37" i="51"/>
  <c r="ZL36" i="51"/>
  <c r="ZL35" i="51"/>
  <c r="ZL32" i="51"/>
  <c r="ZL31" i="51"/>
  <c r="ZL30" i="51"/>
  <c r="ZL29" i="51"/>
  <c r="ZL28" i="51"/>
  <c r="ZL27" i="51"/>
  <c r="ZL26" i="51"/>
  <c r="ZL25" i="51"/>
  <c r="ZT24" i="51"/>
  <c r="ZL24" i="51"/>
  <c r="ZL23" i="51"/>
  <c r="ZL22" i="51"/>
  <c r="ZL21" i="51"/>
  <c r="H4" i="51"/>
  <c r="I4" i="51"/>
  <c r="I10" i="51"/>
  <c r="F4" i="51"/>
  <c r="F10" i="51"/>
  <c r="J10" i="51"/>
  <c r="G4" i="51"/>
  <c r="G10" i="51"/>
  <c r="E4" i="51"/>
  <c r="E10" i="51"/>
  <c r="J9" i="51"/>
  <c r="I9" i="51"/>
  <c r="G9" i="51"/>
  <c r="F9" i="51"/>
  <c r="E9" i="51"/>
  <c r="J8" i="51"/>
  <c r="I8" i="51"/>
  <c r="G8" i="51"/>
  <c r="F8" i="51"/>
  <c r="E8" i="51"/>
  <c r="J7" i="51"/>
  <c r="I7" i="51"/>
  <c r="G7" i="51"/>
  <c r="F7" i="51"/>
  <c r="E7" i="51"/>
  <c r="I6" i="51"/>
  <c r="F6" i="51"/>
  <c r="J6" i="51"/>
  <c r="G6" i="51"/>
  <c r="E6" i="51"/>
  <c r="J5" i="51"/>
  <c r="I5" i="51"/>
  <c r="G5" i="51"/>
  <c r="F5" i="51"/>
  <c r="E5" i="51"/>
  <c r="J4" i="51"/>
  <c r="C92" i="33"/>
  <c r="C91" i="33"/>
  <c r="C90" i="33"/>
  <c r="C89" i="33"/>
  <c r="C88" i="33"/>
  <c r="C87" i="33"/>
  <c r="C86" i="33"/>
  <c r="C85" i="33"/>
  <c r="C84" i="33"/>
  <c r="C83" i="33"/>
  <c r="C82" i="33"/>
  <c r="C81" i="33"/>
  <c r="BT39" i="33"/>
  <c r="BS39" i="33"/>
  <c r="BR39" i="33"/>
  <c r="BJ39" i="33"/>
  <c r="AS39" i="33"/>
  <c r="Z39" i="33"/>
  <c r="F39" i="33"/>
  <c r="BT38" i="33"/>
  <c r="BS38" i="33"/>
  <c r="BR38" i="33"/>
  <c r="BJ38" i="33"/>
  <c r="AS38" i="33"/>
  <c r="Z38" i="33"/>
  <c r="F38" i="33"/>
  <c r="BT37" i="33"/>
  <c r="BS37" i="33"/>
  <c r="BR37" i="33"/>
  <c r="BJ37" i="33"/>
  <c r="AS37" i="33"/>
  <c r="Z37" i="33"/>
  <c r="F37" i="33"/>
  <c r="BT36" i="33"/>
  <c r="BS36" i="33"/>
  <c r="BR36" i="33"/>
  <c r="BJ36" i="33"/>
  <c r="AS36" i="33"/>
  <c r="Z36" i="33"/>
  <c r="F36" i="33"/>
  <c r="BT35" i="33"/>
  <c r="BS35" i="33"/>
  <c r="BR35" i="33"/>
  <c r="BJ35" i="33"/>
  <c r="AS35" i="33"/>
  <c r="Z35" i="33"/>
  <c r="F35" i="33"/>
  <c r="BT34" i="33"/>
  <c r="BS34" i="33"/>
  <c r="BR34" i="33"/>
  <c r="BJ34" i="33"/>
  <c r="AS34" i="33"/>
  <c r="Z34" i="33"/>
  <c r="F34" i="33"/>
  <c r="BT33" i="33"/>
  <c r="BS33" i="33"/>
  <c r="BR33" i="33"/>
  <c r="BJ33" i="33"/>
  <c r="AS33" i="33"/>
  <c r="Z33" i="33"/>
  <c r="F33" i="33"/>
  <c r="BT32" i="33"/>
  <c r="BS32" i="33"/>
  <c r="BR32" i="33"/>
  <c r="BJ32" i="33"/>
  <c r="Z32" i="33"/>
  <c r="F32" i="33"/>
  <c r="BT31" i="33"/>
  <c r="BS31" i="33"/>
  <c r="BR31" i="33"/>
  <c r="BJ31" i="33"/>
  <c r="Z31" i="33"/>
  <c r="F31" i="33"/>
  <c r="BT30" i="33"/>
  <c r="BS30" i="33"/>
  <c r="BR30" i="33"/>
  <c r="BJ30" i="33"/>
  <c r="Z30" i="33"/>
  <c r="F30" i="33"/>
  <c r="BT29" i="33"/>
  <c r="BS29" i="33"/>
  <c r="BR29" i="33"/>
  <c r="BJ29" i="33"/>
  <c r="Z29" i="33"/>
  <c r="F29" i="33"/>
  <c r="BT28" i="33"/>
  <c r="BS28" i="33"/>
  <c r="BR28" i="33"/>
  <c r="BJ28" i="33"/>
  <c r="Z28" i="33"/>
  <c r="F28" i="33"/>
  <c r="BJ27" i="33"/>
  <c r="Z27" i="33"/>
  <c r="F27" i="33"/>
  <c r="BJ26" i="33"/>
  <c r="BJ25" i="33"/>
  <c r="Z26" i="33"/>
  <c r="Z25" i="33"/>
  <c r="F26" i="33"/>
  <c r="F25" i="33"/>
  <c r="BR24" i="33"/>
  <c r="BQ24" i="33"/>
  <c r="BP24" i="33"/>
  <c r="BO24" i="33"/>
  <c r="BN24" i="33"/>
  <c r="BM24" i="33"/>
  <c r="BL24" i="33"/>
  <c r="BK24" i="33"/>
  <c r="BJ24" i="33"/>
  <c r="BI24" i="33"/>
  <c r="BH24" i="33"/>
  <c r="BG24" i="33"/>
  <c r="BF24" i="33"/>
  <c r="BE24" i="33"/>
  <c r="BD24" i="33"/>
  <c r="BC24" i="33"/>
  <c r="BB24" i="33"/>
  <c r="BA24" i="33"/>
  <c r="AZ24" i="33"/>
  <c r="AY24" i="33"/>
  <c r="AX24" i="33"/>
  <c r="AW24" i="33"/>
  <c r="AV24" i="33"/>
  <c r="AU24" i="33"/>
  <c r="AT24" i="33"/>
  <c r="AS24" i="33"/>
  <c r="AR24" i="33"/>
  <c r="AQ24" i="33"/>
  <c r="AP24" i="33"/>
  <c r="AO24" i="33"/>
  <c r="AN24" i="33"/>
  <c r="AM24" i="33"/>
  <c r="AL24" i="33"/>
  <c r="AK24" i="33"/>
  <c r="AJ24" i="33"/>
  <c r="AI24" i="33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X12" i="69"/>
  <c r="W12" i="69"/>
  <c r="V12" i="69"/>
  <c r="U12" i="69"/>
  <c r="T12" i="69"/>
  <c r="S12" i="69"/>
  <c r="R12" i="69"/>
  <c r="Q12" i="69"/>
  <c r="P12" i="69"/>
  <c r="O12" i="69"/>
  <c r="N12" i="69"/>
  <c r="I50" i="29"/>
  <c r="H50" i="29"/>
  <c r="I49" i="29"/>
  <c r="I48" i="29"/>
  <c r="I47" i="29"/>
  <c r="I46" i="29"/>
  <c r="I45" i="29"/>
  <c r="I44" i="29"/>
  <c r="I43" i="29"/>
  <c r="E43" i="29"/>
  <c r="D43" i="29"/>
  <c r="I42" i="29"/>
  <c r="E42" i="29"/>
  <c r="I41" i="29"/>
  <c r="E41" i="29"/>
  <c r="I40" i="29"/>
  <c r="E40" i="29"/>
  <c r="I39" i="29"/>
  <c r="E39" i="29"/>
  <c r="I38" i="29"/>
  <c r="E38" i="29"/>
  <c r="Q37" i="29"/>
  <c r="P37" i="29"/>
  <c r="I37" i="29"/>
  <c r="E37" i="29"/>
  <c r="Q36" i="29"/>
  <c r="P36" i="29"/>
  <c r="I36" i="29"/>
  <c r="E36" i="29"/>
  <c r="Q35" i="29"/>
  <c r="P35" i="29"/>
  <c r="I35" i="29"/>
  <c r="E35" i="29"/>
  <c r="I34" i="29"/>
  <c r="E34" i="29"/>
  <c r="I33" i="29"/>
  <c r="E33" i="29"/>
  <c r="I32" i="29"/>
  <c r="E32" i="29"/>
  <c r="I31" i="29"/>
  <c r="E31" i="29"/>
  <c r="I30" i="29"/>
  <c r="E30" i="29"/>
  <c r="I29" i="29"/>
  <c r="I28" i="29"/>
  <c r="I27" i="29"/>
  <c r="E27" i="29"/>
  <c r="D27" i="29"/>
  <c r="I26" i="29"/>
  <c r="E26" i="29"/>
  <c r="I25" i="29"/>
  <c r="E25" i="29"/>
  <c r="L24" i="29"/>
  <c r="I24" i="29"/>
  <c r="S62" i="35"/>
  <c r="R57" i="35"/>
  <c r="R59" i="35"/>
  <c r="R60" i="35"/>
  <c r="R62" i="35"/>
  <c r="I18" i="71"/>
  <c r="H18" i="71"/>
  <c r="G18" i="71"/>
  <c r="F18" i="71"/>
  <c r="E18" i="71"/>
  <c r="D18" i="71"/>
  <c r="C18" i="71"/>
  <c r="I17" i="71"/>
  <c r="P57" i="35"/>
  <c r="H17" i="71"/>
  <c r="N57" i="35"/>
  <c r="G17" i="71"/>
  <c r="L57" i="35"/>
  <c r="F17" i="71"/>
  <c r="J57" i="35"/>
  <c r="E17" i="71"/>
  <c r="H57" i="35"/>
  <c r="D17" i="71"/>
  <c r="F57" i="35"/>
  <c r="B13" i="71"/>
  <c r="Q62" i="35"/>
  <c r="P59" i="35"/>
  <c r="P60" i="35"/>
  <c r="P62" i="35"/>
  <c r="O62" i="35"/>
  <c r="N59" i="35"/>
  <c r="N60" i="35"/>
  <c r="N62" i="35"/>
  <c r="M62" i="35"/>
  <c r="L59" i="35"/>
  <c r="L60" i="35"/>
  <c r="L62" i="35"/>
  <c r="K62" i="35"/>
  <c r="J59" i="35"/>
  <c r="J60" i="35"/>
  <c r="J62" i="35"/>
  <c r="I62" i="35"/>
  <c r="H59" i="35"/>
  <c r="H60" i="35"/>
  <c r="H62" i="35"/>
  <c r="G62" i="35"/>
  <c r="F59" i="35"/>
  <c r="F60" i="35"/>
  <c r="F62" i="35"/>
  <c r="S56" i="35"/>
  <c r="R56" i="35"/>
  <c r="Q56" i="35"/>
  <c r="P56" i="35"/>
  <c r="O56" i="35"/>
  <c r="N56" i="35"/>
  <c r="M56" i="35"/>
  <c r="L56" i="35"/>
  <c r="K56" i="35"/>
  <c r="J56" i="35"/>
  <c r="I56" i="35"/>
  <c r="H56" i="35"/>
  <c r="G56" i="35"/>
  <c r="F56" i="35"/>
  <c r="S55" i="35"/>
  <c r="R55" i="35"/>
  <c r="Q55" i="35"/>
  <c r="P55" i="35"/>
  <c r="O55" i="35"/>
  <c r="N55" i="35"/>
  <c r="M55" i="35"/>
  <c r="L55" i="35"/>
  <c r="K55" i="35"/>
  <c r="J55" i="35"/>
  <c r="I55" i="35"/>
  <c r="H55" i="35"/>
  <c r="G55" i="35"/>
  <c r="F55" i="35"/>
  <c r="S54" i="35"/>
  <c r="R54" i="35"/>
  <c r="Q54" i="35"/>
  <c r="P54" i="35"/>
  <c r="O54" i="35"/>
  <c r="N54" i="35"/>
  <c r="M54" i="35"/>
  <c r="L54" i="35"/>
  <c r="K54" i="35"/>
  <c r="J54" i="35"/>
  <c r="I54" i="35"/>
  <c r="H54" i="35"/>
  <c r="G54" i="35"/>
  <c r="F54" i="35"/>
  <c r="S53" i="35"/>
  <c r="R53" i="35"/>
  <c r="Q53" i="35"/>
  <c r="P53" i="35"/>
  <c r="O53" i="35"/>
  <c r="N53" i="35"/>
  <c r="M53" i="35"/>
  <c r="L53" i="35"/>
  <c r="K53" i="35"/>
  <c r="J53" i="35"/>
  <c r="I53" i="35"/>
  <c r="H53" i="35"/>
  <c r="G53" i="35"/>
  <c r="F53" i="35"/>
  <c r="S52" i="35"/>
  <c r="R52" i="35"/>
  <c r="Q52" i="35"/>
  <c r="P52" i="35"/>
  <c r="O52" i="35"/>
  <c r="N52" i="35"/>
  <c r="M52" i="35"/>
  <c r="L52" i="35"/>
  <c r="K52" i="35"/>
  <c r="J52" i="35"/>
  <c r="I52" i="35"/>
  <c r="H52" i="35"/>
  <c r="G52" i="35"/>
  <c r="F52" i="35"/>
  <c r="S51" i="35"/>
  <c r="R51" i="35"/>
  <c r="Q51" i="35"/>
  <c r="P51" i="35"/>
  <c r="O51" i="35"/>
  <c r="N51" i="35"/>
  <c r="M51" i="35"/>
  <c r="L51" i="35"/>
  <c r="K51" i="35"/>
  <c r="J51" i="35"/>
  <c r="I51" i="35"/>
  <c r="H51" i="35"/>
  <c r="G51" i="35"/>
  <c r="F51" i="35"/>
  <c r="S50" i="35"/>
  <c r="R50" i="35"/>
  <c r="Q50" i="35"/>
  <c r="P50" i="35"/>
  <c r="O50" i="35"/>
  <c r="N50" i="35"/>
  <c r="M50" i="35"/>
  <c r="L50" i="35"/>
  <c r="K50" i="35"/>
  <c r="J50" i="35"/>
  <c r="I50" i="35"/>
  <c r="H50" i="35"/>
  <c r="G50" i="35"/>
  <c r="F50" i="35"/>
  <c r="S49" i="35"/>
  <c r="R49" i="35"/>
  <c r="Q49" i="35"/>
  <c r="P49" i="35"/>
  <c r="O49" i="35"/>
  <c r="N49" i="35"/>
  <c r="M49" i="35"/>
  <c r="L49" i="35"/>
  <c r="K49" i="35"/>
  <c r="J49" i="35"/>
  <c r="I49" i="35"/>
  <c r="H49" i="35"/>
  <c r="G49" i="35"/>
  <c r="F49" i="35"/>
  <c r="S48" i="35"/>
  <c r="R48" i="35"/>
  <c r="Q48" i="35"/>
  <c r="P48" i="35"/>
  <c r="O48" i="35"/>
  <c r="N48" i="35"/>
  <c r="M48" i="35"/>
  <c r="L48" i="35"/>
  <c r="K48" i="35"/>
  <c r="J48" i="35"/>
  <c r="I48" i="35"/>
  <c r="H48" i="35"/>
  <c r="G48" i="35"/>
  <c r="F48" i="35"/>
  <c r="Q243" i="28"/>
  <c r="P19" i="26"/>
  <c r="P243" i="28"/>
  <c r="P246" i="28"/>
  <c r="P251" i="28"/>
  <c r="P252" i="28"/>
  <c r="P18" i="26"/>
  <c r="O243" i="28"/>
  <c r="O246" i="28"/>
  <c r="O251" i="28"/>
  <c r="O252" i="28"/>
  <c r="P17" i="26"/>
  <c r="N243" i="28"/>
  <c r="N246" i="28"/>
  <c r="N251" i="28"/>
  <c r="N252" i="28"/>
  <c r="P16" i="26"/>
  <c r="M243" i="28"/>
  <c r="P15" i="26"/>
  <c r="L243" i="28"/>
  <c r="L246" i="28"/>
  <c r="L251" i="28"/>
  <c r="L252" i="28"/>
  <c r="P14" i="26"/>
  <c r="K243" i="28"/>
  <c r="K246" i="28"/>
  <c r="K251" i="28"/>
  <c r="K252" i="28"/>
  <c r="P13" i="26"/>
  <c r="J243" i="28"/>
  <c r="J246" i="28"/>
  <c r="J251" i="28"/>
  <c r="J252" i="28"/>
  <c r="P12" i="26"/>
  <c r="I243" i="28"/>
  <c r="I246" i="28"/>
  <c r="I251" i="28"/>
  <c r="I252" i="28"/>
  <c r="P11" i="26"/>
  <c r="N11" i="26"/>
  <c r="H243" i="28"/>
  <c r="H246" i="28"/>
  <c r="H251" i="28"/>
  <c r="H252" i="28"/>
  <c r="P10" i="26"/>
  <c r="N10" i="26"/>
  <c r="G243" i="28"/>
  <c r="G246" i="28"/>
  <c r="G251" i="28"/>
  <c r="G252" i="28"/>
  <c r="P9" i="26"/>
  <c r="N9" i="26"/>
  <c r="R243" i="28"/>
  <c r="R246" i="28"/>
  <c r="R251" i="28"/>
  <c r="R252" i="28"/>
  <c r="G6" i="68" a="1"/>
  <c r="G6" i="68"/>
  <c r="R417" i="28"/>
  <c r="Q417" i="28"/>
  <c r="P417" i="28"/>
  <c r="O417" i="28"/>
  <c r="N417" i="28"/>
  <c r="M417" i="28"/>
  <c r="L417" i="28"/>
  <c r="K417" i="28"/>
  <c r="J417" i="28"/>
  <c r="I417" i="28"/>
  <c r="H417" i="28"/>
  <c r="G417" i="28"/>
  <c r="R405" i="28"/>
  <c r="Q405" i="28"/>
  <c r="P405" i="28"/>
  <c r="O405" i="28"/>
  <c r="R404" i="28"/>
  <c r="Q404" i="28"/>
  <c r="P404" i="28"/>
  <c r="O404" i="28"/>
  <c r="R403" i="28"/>
  <c r="Q403" i="28"/>
  <c r="P403" i="28"/>
  <c r="O403" i="28"/>
  <c r="R402" i="28"/>
  <c r="Q402" i="28"/>
  <c r="P402" i="28"/>
  <c r="O402" i="28"/>
  <c r="R401" i="28"/>
  <c r="Q401" i="28"/>
  <c r="P401" i="28"/>
  <c r="O401" i="28"/>
  <c r="R400" i="28"/>
  <c r="Q400" i="28"/>
  <c r="P400" i="28"/>
  <c r="O400" i="28"/>
  <c r="R360" i="28"/>
  <c r="Q360" i="28"/>
  <c r="P360" i="28"/>
  <c r="O360" i="28"/>
  <c r="N360" i="28"/>
  <c r="M360" i="28"/>
  <c r="L360" i="28"/>
  <c r="K360" i="28"/>
  <c r="J360" i="28"/>
  <c r="I360" i="28"/>
  <c r="H360" i="28"/>
  <c r="G360" i="28"/>
  <c r="R359" i="28"/>
  <c r="Q359" i="28"/>
  <c r="P359" i="28"/>
  <c r="O359" i="28"/>
  <c r="N359" i="28"/>
  <c r="M359" i="28"/>
  <c r="L359" i="28"/>
  <c r="K359" i="28"/>
  <c r="J359" i="28"/>
  <c r="I359" i="28"/>
  <c r="H359" i="28"/>
  <c r="G359" i="28"/>
  <c r="R358" i="28"/>
  <c r="Q358" i="28"/>
  <c r="P358" i="28"/>
  <c r="O358" i="28"/>
  <c r="N358" i="28"/>
  <c r="M358" i="28"/>
  <c r="L358" i="28"/>
  <c r="K358" i="28"/>
  <c r="J358" i="28"/>
  <c r="I358" i="28"/>
  <c r="H358" i="28"/>
  <c r="G358" i="28"/>
  <c r="R357" i="28"/>
  <c r="Q357" i="28"/>
  <c r="P357" i="28"/>
  <c r="O357" i="28"/>
  <c r="N357" i="28"/>
  <c r="M357" i="28"/>
  <c r="L357" i="28"/>
  <c r="K357" i="28"/>
  <c r="J357" i="28"/>
  <c r="I357" i="28"/>
  <c r="H357" i="28"/>
  <c r="G357" i="28"/>
  <c r="R356" i="28"/>
  <c r="Q356" i="28"/>
  <c r="P356" i="28"/>
  <c r="O356" i="28"/>
  <c r="N356" i="28"/>
  <c r="M356" i="28"/>
  <c r="L356" i="28"/>
  <c r="K356" i="28"/>
  <c r="J356" i="28"/>
  <c r="I356" i="28"/>
  <c r="H356" i="28"/>
  <c r="G356" i="28"/>
  <c r="R355" i="28"/>
  <c r="Q355" i="28"/>
  <c r="P355" i="28"/>
  <c r="O355" i="28"/>
  <c r="N355" i="28"/>
  <c r="M355" i="28"/>
  <c r="L355" i="28"/>
  <c r="K355" i="28"/>
  <c r="J355" i="28"/>
  <c r="I355" i="28"/>
  <c r="H355" i="28"/>
  <c r="G355" i="28"/>
  <c r="P354" i="28"/>
  <c r="O354" i="28"/>
  <c r="L307" i="28"/>
  <c r="L354" i="28"/>
  <c r="R353" i="28"/>
  <c r="Q353" i="28"/>
  <c r="P353" i="28"/>
  <c r="O353" i="28"/>
  <c r="N353" i="28"/>
  <c r="M353" i="28"/>
  <c r="L353" i="28"/>
  <c r="K353" i="28"/>
  <c r="J353" i="28"/>
  <c r="I353" i="28"/>
  <c r="H353" i="28"/>
  <c r="G353" i="28"/>
  <c r="R352" i="28"/>
  <c r="Q352" i="28"/>
  <c r="P352" i="28"/>
  <c r="O352" i="28"/>
  <c r="N352" i="28"/>
  <c r="M352" i="28"/>
  <c r="L352" i="28"/>
  <c r="K352" i="28"/>
  <c r="J352" i="28"/>
  <c r="I352" i="28"/>
  <c r="H352" i="28"/>
  <c r="G352" i="28"/>
  <c r="R351" i="28"/>
  <c r="Q351" i="28"/>
  <c r="P351" i="28"/>
  <c r="O351" i="28"/>
  <c r="N351" i="28"/>
  <c r="M351" i="28"/>
  <c r="L351" i="28"/>
  <c r="K351" i="28"/>
  <c r="J351" i="28"/>
  <c r="I351" i="28"/>
  <c r="H351" i="28"/>
  <c r="G351" i="28"/>
  <c r="R350" i="28"/>
  <c r="Q350" i="28"/>
  <c r="P350" i="28"/>
  <c r="O350" i="28"/>
  <c r="N350" i="28"/>
  <c r="M350" i="28"/>
  <c r="L350" i="28"/>
  <c r="K350" i="28"/>
  <c r="J350" i="28"/>
  <c r="I350" i="28"/>
  <c r="H350" i="28"/>
  <c r="G350" i="28"/>
  <c r="R349" i="28"/>
  <c r="Q349" i="28"/>
  <c r="P349" i="28"/>
  <c r="O349" i="28"/>
  <c r="N349" i="28"/>
  <c r="M349" i="28"/>
  <c r="L349" i="28"/>
  <c r="K349" i="28"/>
  <c r="J349" i="28"/>
  <c r="I349" i="28"/>
  <c r="H349" i="28"/>
  <c r="G349" i="28"/>
  <c r="R348" i="28"/>
  <c r="Q348" i="28"/>
  <c r="P348" i="28"/>
  <c r="O348" i="28"/>
  <c r="N348" i="28"/>
  <c r="M348" i="28"/>
  <c r="L348" i="28"/>
  <c r="K348" i="28"/>
  <c r="J348" i="28"/>
  <c r="I348" i="28"/>
  <c r="H348" i="28"/>
  <c r="G348" i="28"/>
  <c r="R347" i="28"/>
  <c r="Q347" i="28"/>
  <c r="P347" i="28"/>
  <c r="O347" i="28"/>
  <c r="N347" i="28"/>
  <c r="M347" i="28"/>
  <c r="L347" i="28"/>
  <c r="K347" i="28"/>
  <c r="J347" i="28"/>
  <c r="I347" i="28"/>
  <c r="H347" i="28"/>
  <c r="G347" i="28"/>
  <c r="R346" i="28"/>
  <c r="Q346" i="28"/>
  <c r="P346" i="28"/>
  <c r="O346" i="28"/>
  <c r="N346" i="28"/>
  <c r="M346" i="28"/>
  <c r="L346" i="28"/>
  <c r="K346" i="28"/>
  <c r="J346" i="28"/>
  <c r="I346" i="28"/>
  <c r="H346" i="28"/>
  <c r="G346" i="28"/>
  <c r="R345" i="28"/>
  <c r="Q345" i="28"/>
  <c r="P345" i="28"/>
  <c r="O345" i="28"/>
  <c r="N345" i="28"/>
  <c r="M345" i="28"/>
  <c r="L345" i="28"/>
  <c r="K345" i="28"/>
  <c r="J345" i="28"/>
  <c r="I345" i="28"/>
  <c r="H345" i="28"/>
  <c r="G345" i="28"/>
  <c r="R344" i="28"/>
  <c r="Q344" i="28"/>
  <c r="P344" i="28"/>
  <c r="O344" i="28"/>
  <c r="N344" i="28"/>
  <c r="M344" i="28"/>
  <c r="L344" i="28"/>
  <c r="K344" i="28"/>
  <c r="J344" i="28"/>
  <c r="I344" i="28"/>
  <c r="H344" i="28"/>
  <c r="G344" i="28"/>
  <c r="R343" i="28"/>
  <c r="Q343" i="28"/>
  <c r="P343" i="28"/>
  <c r="O343" i="28"/>
  <c r="N343" i="28"/>
  <c r="M343" i="28"/>
  <c r="L343" i="28"/>
  <c r="K343" i="28"/>
  <c r="J343" i="28"/>
  <c r="I343" i="28"/>
  <c r="H343" i="28"/>
  <c r="G343" i="28"/>
  <c r="R342" i="28"/>
  <c r="Q342" i="28"/>
  <c r="P342" i="28"/>
  <c r="O342" i="28"/>
  <c r="N342" i="28"/>
  <c r="M342" i="28"/>
  <c r="L342" i="28"/>
  <c r="K342" i="28"/>
  <c r="J342" i="28"/>
  <c r="I342" i="28"/>
  <c r="H342" i="28"/>
  <c r="G342" i="28"/>
  <c r="R341" i="28"/>
  <c r="Q341" i="28"/>
  <c r="P341" i="28"/>
  <c r="O341" i="28"/>
  <c r="N341" i="28"/>
  <c r="M341" i="28"/>
  <c r="L341" i="28"/>
  <c r="K341" i="28"/>
  <c r="J341" i="28"/>
  <c r="I341" i="28"/>
  <c r="H341" i="28"/>
  <c r="G341" i="28"/>
  <c r="R340" i="28"/>
  <c r="Q340" i="28"/>
  <c r="P340" i="28"/>
  <c r="O340" i="28"/>
  <c r="N340" i="28"/>
  <c r="M340" i="28"/>
  <c r="L340" i="28"/>
  <c r="K340" i="28"/>
  <c r="J340" i="28"/>
  <c r="I340" i="28"/>
  <c r="H340" i="28"/>
  <c r="G340" i="28"/>
  <c r="R339" i="28"/>
  <c r="Q339" i="28"/>
  <c r="P339" i="28"/>
  <c r="O339" i="28"/>
  <c r="N339" i="28"/>
  <c r="M339" i="28"/>
  <c r="L339" i="28"/>
  <c r="K339" i="28"/>
  <c r="J339" i="28"/>
  <c r="I339" i="28"/>
  <c r="H339" i="28"/>
  <c r="G339" i="28"/>
  <c r="R338" i="28"/>
  <c r="Q338" i="28"/>
  <c r="P338" i="28"/>
  <c r="O338" i="28"/>
  <c r="N338" i="28"/>
  <c r="M338" i="28"/>
  <c r="L338" i="28"/>
  <c r="K338" i="28"/>
  <c r="J338" i="28"/>
  <c r="I338" i="28"/>
  <c r="H338" i="28"/>
  <c r="G338" i="28"/>
  <c r="R337" i="28"/>
  <c r="Q337" i="28"/>
  <c r="P337" i="28"/>
  <c r="O337" i="28"/>
  <c r="N337" i="28"/>
  <c r="M337" i="28"/>
  <c r="L337" i="28"/>
  <c r="K337" i="28"/>
  <c r="J337" i="28"/>
  <c r="I337" i="28"/>
  <c r="H337" i="28"/>
  <c r="G337" i="28"/>
  <c r="R336" i="28"/>
  <c r="Q336" i="28"/>
  <c r="P336" i="28"/>
  <c r="O336" i="28"/>
  <c r="N336" i="28"/>
  <c r="M336" i="28"/>
  <c r="L336" i="28"/>
  <c r="K336" i="28"/>
  <c r="J336" i="28"/>
  <c r="I336" i="28"/>
  <c r="H336" i="28"/>
  <c r="G336" i="28"/>
  <c r="R335" i="28"/>
  <c r="Q335" i="28"/>
  <c r="P335" i="28"/>
  <c r="O335" i="28"/>
  <c r="N335" i="28"/>
  <c r="M335" i="28"/>
  <c r="L335" i="28"/>
  <c r="K335" i="28"/>
  <c r="J335" i="28"/>
  <c r="I335" i="28"/>
  <c r="H335" i="28"/>
  <c r="G335" i="28"/>
  <c r="O334" i="28"/>
  <c r="R333" i="28"/>
  <c r="Q333" i="28"/>
  <c r="P333" i="28"/>
  <c r="O333" i="28"/>
  <c r="N333" i="28"/>
  <c r="M333" i="28"/>
  <c r="L333" i="28"/>
  <c r="K333" i="28"/>
  <c r="J333" i="28"/>
  <c r="I333" i="28"/>
  <c r="H333" i="28"/>
  <c r="G333" i="28"/>
  <c r="R332" i="28"/>
  <c r="Q332" i="28"/>
  <c r="P332" i="28"/>
  <c r="O332" i="28"/>
  <c r="N332" i="28"/>
  <c r="M332" i="28"/>
  <c r="L332" i="28"/>
  <c r="K332" i="28"/>
  <c r="J332" i="28"/>
  <c r="I332" i="28"/>
  <c r="H332" i="28"/>
  <c r="G332" i="28"/>
  <c r="R331" i="28"/>
  <c r="Q331" i="28"/>
  <c r="P331" i="28"/>
  <c r="O331" i="28"/>
  <c r="N331" i="28"/>
  <c r="M331" i="28"/>
  <c r="L331" i="28"/>
  <c r="K331" i="28"/>
  <c r="J331" i="28"/>
  <c r="I331" i="28"/>
  <c r="H331" i="28"/>
  <c r="G331" i="28"/>
  <c r="R330" i="28"/>
  <c r="Q330" i="28"/>
  <c r="P330" i="28"/>
  <c r="O330" i="28"/>
  <c r="N330" i="28"/>
  <c r="M330" i="28"/>
  <c r="L330" i="28"/>
  <c r="K330" i="28"/>
  <c r="J330" i="28"/>
  <c r="I330" i="28"/>
  <c r="H330" i="28"/>
  <c r="G330" i="28"/>
  <c r="R282" i="28"/>
  <c r="R329" i="28"/>
  <c r="R328" i="28"/>
  <c r="Q328" i="28"/>
  <c r="P328" i="28"/>
  <c r="O328" i="28"/>
  <c r="N328" i="28"/>
  <c r="M328" i="28"/>
  <c r="L328" i="28"/>
  <c r="K328" i="28"/>
  <c r="J328" i="28"/>
  <c r="I328" i="28"/>
  <c r="H328" i="28"/>
  <c r="G328" i="28"/>
  <c r="R327" i="28"/>
  <c r="Q327" i="28"/>
  <c r="P327" i="28"/>
  <c r="O327" i="28"/>
  <c r="N327" i="28"/>
  <c r="M327" i="28"/>
  <c r="L327" i="28"/>
  <c r="K327" i="28"/>
  <c r="J327" i="28"/>
  <c r="I327" i="28"/>
  <c r="H327" i="28"/>
  <c r="G327" i="28"/>
  <c r="Q279" i="28"/>
  <c r="Q326" i="28"/>
  <c r="P326" i="28"/>
  <c r="O326" i="28"/>
  <c r="N279" i="28"/>
  <c r="N326" i="28"/>
  <c r="M279" i="28"/>
  <c r="M326" i="28"/>
  <c r="K279" i="28"/>
  <c r="K326" i="28"/>
  <c r="R325" i="28"/>
  <c r="Q325" i="28"/>
  <c r="P325" i="28"/>
  <c r="O325" i="28"/>
  <c r="N325" i="28"/>
  <c r="M325" i="28"/>
  <c r="L325" i="28"/>
  <c r="K325" i="28"/>
  <c r="J325" i="28"/>
  <c r="I325" i="28"/>
  <c r="H325" i="28"/>
  <c r="G325" i="28"/>
  <c r="R324" i="28"/>
  <c r="Q324" i="28"/>
  <c r="P324" i="28"/>
  <c r="O324" i="28"/>
  <c r="N324" i="28"/>
  <c r="M324" i="28"/>
  <c r="L324" i="28"/>
  <c r="K324" i="28"/>
  <c r="J324" i="28"/>
  <c r="I324" i="28"/>
  <c r="H324" i="28"/>
  <c r="G324" i="28"/>
  <c r="R323" i="28"/>
  <c r="Q323" i="28"/>
  <c r="P323" i="28"/>
  <c r="O323" i="28"/>
  <c r="N323" i="28"/>
  <c r="M323" i="28"/>
  <c r="L323" i="28"/>
  <c r="K323" i="28"/>
  <c r="J323" i="28"/>
  <c r="I323" i="28"/>
  <c r="H323" i="28"/>
  <c r="G323" i="28"/>
  <c r="R322" i="28"/>
  <c r="Q322" i="28"/>
  <c r="P322" i="28"/>
  <c r="O322" i="28"/>
  <c r="N322" i="28"/>
  <c r="M322" i="28"/>
  <c r="L322" i="28"/>
  <c r="K322" i="28"/>
  <c r="J322" i="28"/>
  <c r="I322" i="28"/>
  <c r="H322" i="28"/>
  <c r="G322" i="28"/>
  <c r="R321" i="28"/>
  <c r="Q321" i="28"/>
  <c r="P321" i="28"/>
  <c r="O321" i="28"/>
  <c r="N321" i="28"/>
  <c r="M321" i="28"/>
  <c r="L321" i="28"/>
  <c r="K321" i="28"/>
  <c r="J321" i="28"/>
  <c r="I321" i="28"/>
  <c r="H321" i="28"/>
  <c r="G321" i="28"/>
  <c r="R320" i="28"/>
  <c r="Q320" i="28"/>
  <c r="P320" i="28"/>
  <c r="O320" i="28"/>
  <c r="N320" i="28"/>
  <c r="M320" i="28"/>
  <c r="L320" i="28"/>
  <c r="K320" i="28"/>
  <c r="J320" i="28"/>
  <c r="I320" i="28"/>
  <c r="H320" i="28"/>
  <c r="G320" i="28"/>
  <c r="R319" i="28"/>
  <c r="Q319" i="28"/>
  <c r="Q317" i="28"/>
  <c r="Q318" i="28"/>
  <c r="U318" i="28"/>
  <c r="P319" i="28"/>
  <c r="O319" i="28"/>
  <c r="N319" i="28"/>
  <c r="M319" i="28"/>
  <c r="L319" i="28"/>
  <c r="K319" i="28"/>
  <c r="J319" i="28"/>
  <c r="I319" i="28"/>
  <c r="H319" i="28"/>
  <c r="G319" i="28"/>
  <c r="R318" i="28"/>
  <c r="P318" i="28"/>
  <c r="O318" i="28"/>
  <c r="N318" i="28"/>
  <c r="M318" i="28"/>
  <c r="L318" i="28"/>
  <c r="K318" i="28"/>
  <c r="J318" i="28"/>
  <c r="I318" i="28"/>
  <c r="H318" i="28"/>
  <c r="G318" i="28"/>
  <c r="R317" i="28"/>
  <c r="V318" i="28"/>
  <c r="W319" i="28"/>
  <c r="P317" i="28"/>
  <c r="O317" i="28"/>
  <c r="N317" i="28"/>
  <c r="M317" i="28"/>
  <c r="L317" i="28"/>
  <c r="K317" i="28"/>
  <c r="J317" i="28"/>
  <c r="I317" i="28"/>
  <c r="H317" i="28"/>
  <c r="G317" i="28"/>
  <c r="N314" i="28"/>
  <c r="N361" i="28"/>
  <c r="M314" i="28"/>
  <c r="M361" i="28"/>
  <c r="L314" i="28"/>
  <c r="L361" i="28"/>
  <c r="K314" i="28"/>
  <c r="K361" i="28"/>
  <c r="J314" i="28"/>
  <c r="J361" i="28"/>
  <c r="I314" i="28"/>
  <c r="I361" i="28"/>
  <c r="H314" i="28"/>
  <c r="H361" i="28"/>
  <c r="G314" i="28"/>
  <c r="G361" i="28"/>
  <c r="R307" i="28"/>
  <c r="R354" i="28"/>
  <c r="Q307" i="28"/>
  <c r="Q354" i="28"/>
  <c r="N307" i="28"/>
  <c r="N354" i="28"/>
  <c r="M307" i="28"/>
  <c r="M354" i="28"/>
  <c r="K307" i="28"/>
  <c r="K354" i="28"/>
  <c r="J307" i="28"/>
  <c r="J354" i="28"/>
  <c r="I307" i="28"/>
  <c r="I354" i="28"/>
  <c r="H307" i="28"/>
  <c r="H354" i="28"/>
  <c r="G307" i="28"/>
  <c r="G354" i="28"/>
  <c r="R287" i="28"/>
  <c r="Q287" i="28"/>
  <c r="P362" i="28"/>
  <c r="O362" i="28"/>
  <c r="N287" i="28"/>
  <c r="N334" i="28"/>
  <c r="M287" i="28"/>
  <c r="M334" i="28"/>
  <c r="L287" i="28"/>
  <c r="L334" i="28"/>
  <c r="K287" i="28"/>
  <c r="K334" i="28"/>
  <c r="J287" i="28"/>
  <c r="J334" i="28"/>
  <c r="I287" i="28"/>
  <c r="I315" i="28"/>
  <c r="I362" i="28"/>
  <c r="H287" i="28"/>
  <c r="H315" i="28"/>
  <c r="H362" i="28"/>
  <c r="G287" i="28"/>
  <c r="Q282" i="28"/>
  <c r="O329" i="28"/>
  <c r="N282" i="28"/>
  <c r="N329" i="28"/>
  <c r="M282" i="28"/>
  <c r="M329" i="28"/>
  <c r="L282" i="28"/>
  <c r="L329" i="28"/>
  <c r="K282" i="28"/>
  <c r="K329" i="28"/>
  <c r="J282" i="28"/>
  <c r="J329" i="28"/>
  <c r="I282" i="28"/>
  <c r="I329" i="28"/>
  <c r="H282" i="28"/>
  <c r="H329" i="28"/>
  <c r="G282" i="28"/>
  <c r="G329" i="28"/>
  <c r="R279" i="28"/>
  <c r="R326" i="28"/>
  <c r="L279" i="28"/>
  <c r="L326" i="28"/>
  <c r="J279" i="28"/>
  <c r="J326" i="28"/>
  <c r="I279" i="28"/>
  <c r="I326" i="28"/>
  <c r="H279" i="28"/>
  <c r="H326" i="28"/>
  <c r="G279" i="28"/>
  <c r="G326" i="28"/>
  <c r="R269" i="28"/>
  <c r="Q269" i="28"/>
  <c r="P269" i="28"/>
  <c r="O269" i="28"/>
  <c r="N269" i="28"/>
  <c r="M269" i="28"/>
  <c r="L269" i="28"/>
  <c r="K269" i="28"/>
  <c r="J269" i="28"/>
  <c r="I269" i="28"/>
  <c r="H269" i="28"/>
  <c r="G269" i="28"/>
  <c r="I141" i="28"/>
  <c r="H141" i="28"/>
  <c r="G141" i="28"/>
  <c r="I137" i="28"/>
  <c r="I138" i="28"/>
  <c r="I139" i="28"/>
  <c r="H138" i="28"/>
  <c r="G138" i="28"/>
  <c r="H137" i="28"/>
  <c r="G137" i="28"/>
  <c r="H105" i="28"/>
  <c r="H106" i="28"/>
  <c r="H108" i="28"/>
  <c r="H109" i="28"/>
  <c r="H110" i="28"/>
  <c r="H111" i="28"/>
  <c r="H112" i="28"/>
  <c r="H113" i="28"/>
  <c r="H114" i="28"/>
  <c r="H115" i="28"/>
  <c r="H116" i="28"/>
  <c r="H117" i="28"/>
  <c r="H118" i="28"/>
  <c r="H119" i="28"/>
  <c r="H120" i="28"/>
  <c r="H121" i="28"/>
  <c r="H122" i="28"/>
  <c r="H123" i="28"/>
  <c r="H124" i="28"/>
  <c r="H136" i="28"/>
  <c r="I134" i="28"/>
  <c r="H134" i="28"/>
  <c r="I133" i="28"/>
  <c r="H133" i="28"/>
  <c r="G133" i="28"/>
  <c r="I129" i="28"/>
  <c r="I128" i="28"/>
  <c r="I127" i="28"/>
  <c r="I126" i="28"/>
  <c r="I125" i="28"/>
  <c r="I135" i="28"/>
  <c r="I101" i="28"/>
  <c r="I102" i="28"/>
  <c r="I103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I119" i="28"/>
  <c r="I120" i="28"/>
  <c r="I121" i="28"/>
  <c r="I122" i="28"/>
  <c r="I123" i="28"/>
  <c r="I124" i="28"/>
  <c r="I96" i="28"/>
  <c r="I97" i="28"/>
  <c r="I98" i="28"/>
  <c r="I99" i="28"/>
  <c r="I100" i="28"/>
  <c r="I136" i="28"/>
  <c r="G119" i="28"/>
  <c r="G113" i="28"/>
  <c r="G112" i="28"/>
  <c r="G111" i="28"/>
  <c r="I85" i="28"/>
  <c r="I86" i="28"/>
  <c r="I87" i="28"/>
  <c r="I88" i="28"/>
  <c r="I89" i="28"/>
  <c r="I90" i="28"/>
  <c r="I91" i="28"/>
  <c r="I92" i="28"/>
  <c r="I93" i="28"/>
  <c r="I94" i="28"/>
  <c r="I95" i="28"/>
  <c r="H85" i="28"/>
  <c r="H86" i="28"/>
  <c r="H87" i="28"/>
  <c r="H88" i="28"/>
  <c r="H89" i="28"/>
  <c r="H90" i="28"/>
  <c r="H91" i="28"/>
  <c r="H92" i="28"/>
  <c r="H93" i="28"/>
  <c r="H94" i="28"/>
  <c r="H95" i="28"/>
  <c r="G85" i="28"/>
  <c r="G86" i="28"/>
  <c r="G87" i="28"/>
  <c r="G88" i="28"/>
  <c r="G89" i="28"/>
  <c r="G90" i="28"/>
  <c r="G91" i="28"/>
  <c r="G92" i="28"/>
  <c r="G93" i="28"/>
  <c r="G94" i="28"/>
  <c r="G95" i="28"/>
  <c r="R83" i="28"/>
  <c r="Q83" i="28"/>
  <c r="P83" i="28"/>
  <c r="O83" i="28"/>
  <c r="N83" i="28"/>
  <c r="M83" i="28"/>
  <c r="L83" i="28"/>
  <c r="K83" i="28"/>
  <c r="J83" i="28"/>
  <c r="I83" i="28"/>
  <c r="Q68" i="28"/>
  <c r="Q79" i="28"/>
  <c r="Q44" i="28"/>
  <c r="Q80" i="28"/>
  <c r="Q39" i="28"/>
  <c r="Q84" i="28"/>
  <c r="N19" i="26"/>
  <c r="R79" i="28"/>
  <c r="R68" i="28"/>
  <c r="R44" i="28"/>
  <c r="R80" i="28"/>
  <c r="P79" i="28"/>
  <c r="P68" i="28"/>
  <c r="P44" i="28"/>
  <c r="P80" i="28"/>
  <c r="P39" i="28"/>
  <c r="P84" i="28"/>
  <c r="N18" i="26"/>
  <c r="O79" i="28"/>
  <c r="O68" i="28"/>
  <c r="O44" i="28"/>
  <c r="O80" i="28"/>
  <c r="O39" i="28"/>
  <c r="O84" i="28"/>
  <c r="N17" i="26"/>
  <c r="N79" i="28"/>
  <c r="N68" i="28"/>
  <c r="N44" i="28"/>
  <c r="N80" i="28"/>
  <c r="N39" i="28"/>
  <c r="N84" i="28"/>
  <c r="N16" i="26"/>
  <c r="M79" i="28"/>
  <c r="M68" i="28"/>
  <c r="M44" i="28"/>
  <c r="M80" i="28"/>
  <c r="M39" i="28"/>
  <c r="M84" i="28"/>
  <c r="N15" i="26"/>
  <c r="L79" i="28"/>
  <c r="L68" i="28"/>
  <c r="L44" i="28"/>
  <c r="L80" i="28"/>
  <c r="L39" i="28"/>
  <c r="L84" i="28"/>
  <c r="N14" i="26"/>
  <c r="K79" i="28"/>
  <c r="K68" i="28"/>
  <c r="K44" i="28"/>
  <c r="K80" i="28"/>
  <c r="K39" i="28"/>
  <c r="K84" i="28"/>
  <c r="N13" i="26"/>
  <c r="J79" i="28"/>
  <c r="J68" i="28"/>
  <c r="J44" i="28"/>
  <c r="J80" i="28"/>
  <c r="J39" i="28"/>
  <c r="J84" i="28"/>
  <c r="I79" i="28"/>
  <c r="I68" i="28"/>
  <c r="I44" i="28"/>
  <c r="I80" i="28"/>
  <c r="T49" i="28"/>
  <c r="R39" i="28"/>
  <c r="I39" i="28"/>
  <c r="H39" i="28"/>
  <c r="G39" i="28"/>
  <c r="B105" i="19"/>
  <c r="B104" i="19"/>
  <c r="B103" i="19"/>
  <c r="B102" i="19"/>
  <c r="B101" i="19"/>
  <c r="H110" i="19"/>
  <c r="C53" i="19"/>
  <c r="D53" i="19"/>
  <c r="E53" i="19"/>
  <c r="F53" i="19"/>
  <c r="G53" i="19"/>
  <c r="H53" i="19"/>
  <c r="I53" i="19"/>
  <c r="J53" i="19"/>
  <c r="K53" i="19"/>
  <c r="L53" i="19"/>
  <c r="M53" i="19"/>
  <c r="T349" i="28"/>
  <c r="R315" i="28"/>
  <c r="R362" i="28"/>
  <c r="Q315" i="28"/>
  <c r="Q362" i="28"/>
  <c r="T344" i="28"/>
  <c r="G315" i="28"/>
  <c r="G362" i="28"/>
  <c r="J315" i="28"/>
  <c r="J362" i="28"/>
  <c r="O361" i="28"/>
  <c r="P361" i="28"/>
  <c r="Q361" i="28"/>
  <c r="R361" i="28"/>
  <c r="J409" i="28"/>
  <c r="K315" i="28"/>
  <c r="K362" i="28"/>
  <c r="P334" i="28"/>
  <c r="L315" i="28"/>
  <c r="L362" i="28"/>
  <c r="Q334" i="28"/>
  <c r="M315" i="28"/>
  <c r="M362" i="28"/>
  <c r="R334" i="28"/>
  <c r="O363" i="28"/>
  <c r="N315" i="28"/>
  <c r="N362" i="28"/>
  <c r="G334" i="28"/>
  <c r="L18" i="26"/>
  <c r="R18" i="26"/>
  <c r="H334" i="28"/>
  <c r="Q316" i="28"/>
  <c r="L19" i="26"/>
  <c r="I334" i="28"/>
  <c r="R316" i="28"/>
  <c r="R363" i="28"/>
  <c r="P329" i="28"/>
  <c r="Q329" i="28"/>
  <c r="P409" i="28"/>
  <c r="I316" i="28"/>
  <c r="P363" i="28"/>
  <c r="H316" i="28"/>
  <c r="L316" i="28"/>
  <c r="L104" i="19"/>
  <c r="J104" i="19"/>
  <c r="E114" i="19"/>
  <c r="G105" i="19"/>
  <c r="I105" i="19"/>
  <c r="K105" i="19"/>
  <c r="L105" i="19"/>
  <c r="K104" i="19"/>
  <c r="I104" i="19"/>
  <c r="M105" i="19"/>
  <c r="H105" i="19"/>
  <c r="F103" i="19"/>
  <c r="E110" i="19"/>
  <c r="M104" i="19"/>
  <c r="I110" i="19"/>
  <c r="J110" i="19"/>
  <c r="L103" i="19"/>
  <c r="M110" i="19"/>
  <c r="J105" i="19"/>
  <c r="N110" i="19"/>
  <c r="D105" i="19"/>
  <c r="C103" i="19"/>
  <c r="E105" i="19"/>
  <c r="F105" i="19"/>
  <c r="P65" i="33"/>
  <c r="AP64" i="33"/>
  <c r="AO69" i="33"/>
  <c r="BL71" i="33"/>
  <c r="AP74" i="33"/>
  <c r="AE70" i="33"/>
  <c r="H75" i="33"/>
  <c r="BP70" i="33"/>
  <c r="AX67" i="33"/>
  <c r="U74" i="33"/>
  <c r="AG69" i="33"/>
  <c r="AS72" i="33"/>
  <c r="AS65" i="33"/>
  <c r="BE65" i="33"/>
  <c r="BE69" i="33"/>
  <c r="BE71" i="33"/>
  <c r="O65" i="33"/>
  <c r="AY67" i="33"/>
  <c r="AJ75" i="33"/>
  <c r="AL68" i="33"/>
  <c r="AY69" i="33"/>
  <c r="Q65" i="33"/>
  <c r="AC65" i="33"/>
  <c r="BM69" i="33"/>
  <c r="J70" i="33"/>
  <c r="J66" i="33"/>
  <c r="J69" i="33"/>
  <c r="J71" i="33"/>
  <c r="J75" i="33"/>
  <c r="J67" i="33"/>
  <c r="V70" i="33"/>
  <c r="V66" i="33"/>
  <c r="AH70" i="33"/>
  <c r="AH66" i="33"/>
  <c r="AH69" i="33"/>
  <c r="AH67" i="33"/>
  <c r="AT70" i="33"/>
  <c r="AT66" i="33"/>
  <c r="AT67" i="33"/>
  <c r="AT71" i="33"/>
  <c r="BF70" i="33"/>
  <c r="BF66" i="33"/>
  <c r="BF67" i="33"/>
  <c r="AN72" i="33"/>
  <c r="AP69" i="33"/>
  <c r="BN75" i="33"/>
  <c r="AX64" i="33"/>
  <c r="AX71" i="33"/>
  <c r="AO64" i="33"/>
  <c r="AN75" i="33"/>
  <c r="S72" i="33"/>
  <c r="AD65" i="33"/>
  <c r="V67" i="33"/>
  <c r="N74" i="33"/>
  <c r="N66" i="33"/>
  <c r="N67" i="33"/>
  <c r="N75" i="33"/>
  <c r="N68" i="33"/>
  <c r="N70" i="33"/>
  <c r="N65" i="33"/>
  <c r="AL75" i="33"/>
  <c r="AL74" i="33"/>
  <c r="AL72" i="33"/>
  <c r="AL73" i="33"/>
  <c r="AL64" i="33"/>
  <c r="AL69" i="33"/>
  <c r="AL70" i="33"/>
  <c r="AL65" i="33"/>
  <c r="AL66" i="33"/>
  <c r="AL71" i="33"/>
  <c r="AX73" i="33"/>
  <c r="AX75" i="33"/>
  <c r="AX74" i="33"/>
  <c r="AX68" i="33"/>
  <c r="AX70" i="33"/>
  <c r="AX65" i="33"/>
  <c r="AX66" i="33"/>
  <c r="G64" i="33"/>
  <c r="AQ64" i="33"/>
  <c r="BF65" i="33"/>
  <c r="AZ67" i="33"/>
  <c r="BC68" i="33"/>
  <c r="BO68" i="33"/>
  <c r="D71" i="33"/>
  <c r="R71" i="33"/>
  <c r="N64" i="33"/>
  <c r="BF69" i="33"/>
  <c r="O74" i="33"/>
  <c r="O75" i="33"/>
  <c r="O71" i="33"/>
  <c r="O67" i="33"/>
  <c r="O68" i="33"/>
  <c r="O73" i="33"/>
  <c r="O64" i="33"/>
  <c r="AM75" i="33"/>
  <c r="AM69" i="33"/>
  <c r="AM66" i="33"/>
  <c r="AM71" i="33"/>
  <c r="AM73" i="33"/>
  <c r="AM72" i="33"/>
  <c r="AM64" i="33"/>
  <c r="AY75" i="33"/>
  <c r="AY72" i="33"/>
  <c r="AY74" i="33"/>
  <c r="AY70" i="33"/>
  <c r="AY65" i="33"/>
  <c r="AY66" i="33"/>
  <c r="AY71" i="33"/>
  <c r="AM65" i="33"/>
  <c r="V69" i="33"/>
  <c r="N71" i="33"/>
  <c r="P75" i="33"/>
  <c r="P68" i="33"/>
  <c r="P64" i="33"/>
  <c r="P71" i="33"/>
  <c r="P72" i="33"/>
  <c r="P74" i="33"/>
  <c r="P69" i="33"/>
  <c r="AB74" i="33"/>
  <c r="AB68" i="33"/>
  <c r="AB64" i="33"/>
  <c r="AB67" i="33"/>
  <c r="AB65" i="33"/>
  <c r="AN74" i="33"/>
  <c r="AN73" i="33"/>
  <c r="AN68" i="33"/>
  <c r="AN64" i="33"/>
  <c r="AN65" i="33"/>
  <c r="AN71" i="33"/>
  <c r="AN69" i="33"/>
  <c r="AZ74" i="33"/>
  <c r="AZ72" i="33"/>
  <c r="AZ68" i="33"/>
  <c r="AZ64" i="33"/>
  <c r="AZ69" i="33"/>
  <c r="AZ65" i="33"/>
  <c r="BL74" i="33"/>
  <c r="BL73" i="33"/>
  <c r="BL68" i="33"/>
  <c r="BL64" i="33"/>
  <c r="BL69" i="33"/>
  <c r="BL65" i="33"/>
  <c r="BL72" i="33"/>
  <c r="AD67" i="33"/>
  <c r="BN67" i="33"/>
  <c r="AI67" i="33"/>
  <c r="K74" i="33"/>
  <c r="W65" i="33"/>
  <c r="AU75" i="33"/>
  <c r="BG74" i="33"/>
  <c r="E75" i="33"/>
  <c r="E72" i="33"/>
  <c r="E73" i="33"/>
  <c r="E69" i="33"/>
  <c r="E64" i="33"/>
  <c r="E65" i="33"/>
  <c r="E67" i="33"/>
  <c r="Q75" i="33"/>
  <c r="Q74" i="33"/>
  <c r="Q67" i="33"/>
  <c r="Q69" i="33"/>
  <c r="Q64" i="33"/>
  <c r="Q71" i="33"/>
  <c r="AC73" i="33"/>
  <c r="AC74" i="33"/>
  <c r="AC67" i="33"/>
  <c r="AC72" i="33"/>
  <c r="AC68" i="33"/>
  <c r="AO74" i="33"/>
  <c r="AO73" i="33"/>
  <c r="AO65" i="33"/>
  <c r="AO71" i="33"/>
  <c r="AO67" i="33"/>
  <c r="AO75" i="33"/>
  <c r="AO72" i="33"/>
  <c r="BA69" i="33"/>
  <c r="BA64" i="33"/>
  <c r="BA74" i="33"/>
  <c r="BA67" i="33"/>
  <c r="BM71" i="33"/>
  <c r="BM68" i="33"/>
  <c r="BM65" i="33"/>
  <c r="BM72" i="33"/>
  <c r="BM75" i="33"/>
  <c r="S66" i="33"/>
  <c r="AB69" i="33"/>
  <c r="K72" i="33"/>
  <c r="N73" i="33"/>
  <c r="R72" i="33"/>
  <c r="R67" i="33"/>
  <c r="R74" i="33"/>
  <c r="R69" i="33"/>
  <c r="R64" i="33"/>
  <c r="R65" i="33"/>
  <c r="AD73" i="33"/>
  <c r="AD74" i="33"/>
  <c r="AD71" i="33"/>
  <c r="AD72" i="33"/>
  <c r="AD68" i="33"/>
  <c r="AD69" i="33"/>
  <c r="AD64" i="33"/>
  <c r="AP75" i="33"/>
  <c r="AP73" i="33"/>
  <c r="AP67" i="33"/>
  <c r="AP68" i="33"/>
  <c r="AP65" i="33"/>
  <c r="BB74" i="33"/>
  <c r="BB72" i="33"/>
  <c r="BB71" i="33"/>
  <c r="BB69" i="33"/>
  <c r="BB64" i="33"/>
  <c r="BN64" i="33"/>
  <c r="BN65" i="33"/>
  <c r="BN72" i="33"/>
  <c r="BN73" i="33"/>
  <c r="BN68" i="33"/>
  <c r="Q70" i="33"/>
  <c r="BB75" i="33"/>
  <c r="AC64" i="33"/>
  <c r="AL67" i="33"/>
  <c r="AC69" i="33"/>
  <c r="AU70" i="33"/>
  <c r="M72" i="33"/>
  <c r="Y68" i="33"/>
  <c r="AK68" i="33"/>
  <c r="S73" i="33"/>
  <c r="S74" i="33"/>
  <c r="S67" i="33"/>
  <c r="S69" i="33"/>
  <c r="S65" i="33"/>
  <c r="S75" i="33"/>
  <c r="S64" i="33"/>
  <c r="S70" i="33"/>
  <c r="AE73" i="33"/>
  <c r="AE71" i="33"/>
  <c r="AE67" i="33"/>
  <c r="AE72" i="33"/>
  <c r="AE69" i="33"/>
  <c r="AE65" i="33"/>
  <c r="AE68" i="33"/>
  <c r="AE64" i="33"/>
  <c r="AE75" i="33"/>
  <c r="AE74" i="33"/>
  <c r="AE66" i="33"/>
  <c r="AQ73" i="33"/>
  <c r="AQ75" i="33"/>
  <c r="AQ71" i="33"/>
  <c r="AQ67" i="33"/>
  <c r="AQ69" i="33"/>
  <c r="AQ65" i="33"/>
  <c r="AQ66" i="33"/>
  <c r="AQ68" i="33"/>
  <c r="AQ74" i="33"/>
  <c r="AQ70" i="33"/>
  <c r="BC73" i="33"/>
  <c r="BC72" i="33"/>
  <c r="BC71" i="33"/>
  <c r="BC67" i="33"/>
  <c r="BC69" i="33"/>
  <c r="BC65" i="33"/>
  <c r="BC70" i="33"/>
  <c r="BC74" i="33"/>
  <c r="BC66" i="33"/>
  <c r="BO73" i="33"/>
  <c r="BO72" i="33"/>
  <c r="BO74" i="33"/>
  <c r="BO67" i="33"/>
  <c r="BO69" i="33"/>
  <c r="BO65" i="33"/>
  <c r="BO64" i="33"/>
  <c r="BO70" i="33"/>
  <c r="BO66" i="33"/>
  <c r="BO71" i="33"/>
  <c r="J65" i="33"/>
  <c r="BA65" i="33"/>
  <c r="S68" i="33"/>
  <c r="K70" i="33"/>
  <c r="BB70" i="33"/>
  <c r="AI73" i="33"/>
  <c r="R141" i="28"/>
  <c r="Q141" i="28"/>
  <c r="P141" i="28"/>
  <c r="P422" i="28"/>
  <c r="P421" i="28"/>
  <c r="P419" i="28"/>
  <c r="R84" i="28"/>
  <c r="J141" i="28"/>
  <c r="R19" i="26"/>
  <c r="O19" i="26"/>
  <c r="K141" i="28"/>
  <c r="L141" i="28"/>
  <c r="M141" i="28"/>
  <c r="O141" i="28"/>
  <c r="E6" i="68" a="1"/>
  <c r="N12" i="26"/>
  <c r="N141" i="28"/>
  <c r="M409" i="28"/>
  <c r="M422" i="28"/>
  <c r="M421" i="28"/>
  <c r="M419" i="28"/>
  <c r="M418" i="28"/>
  <c r="M420" i="28"/>
  <c r="I418" i="28"/>
  <c r="I419" i="28"/>
  <c r="L409" i="28"/>
  <c r="L421" i="28"/>
  <c r="L418" i="28"/>
  <c r="L422" i="28"/>
  <c r="L419" i="28"/>
  <c r="O409" i="28"/>
  <c r="O418" i="28"/>
  <c r="O419" i="28"/>
  <c r="K419" i="28"/>
  <c r="K422" i="28"/>
  <c r="K421" i="28"/>
  <c r="K409" i="28"/>
  <c r="K418" i="28"/>
  <c r="P418" i="28"/>
  <c r="J316" i="28"/>
  <c r="J101" i="19"/>
  <c r="N422" i="28"/>
  <c r="N421" i="28"/>
  <c r="N423" i="28"/>
  <c r="N418" i="28"/>
  <c r="N419" i="28"/>
  <c r="J419" i="28"/>
  <c r="F101" i="19"/>
  <c r="J422" i="28"/>
  <c r="J421" i="28"/>
  <c r="J423" i="28"/>
  <c r="Q363" i="28"/>
  <c r="G316" i="28"/>
  <c r="L9" i="26"/>
  <c r="J418" i="28"/>
  <c r="O421" i="28"/>
  <c r="O422" i="28"/>
  <c r="O423" i="28"/>
  <c r="H418" i="28"/>
  <c r="H421" i="28"/>
  <c r="R409" i="28"/>
  <c r="R418" i="28"/>
  <c r="R419" i="28"/>
  <c r="R420" i="28"/>
  <c r="R422" i="28"/>
  <c r="R421" i="28"/>
  <c r="R423" i="28"/>
  <c r="Q409" i="28"/>
  <c r="Q421" i="28"/>
  <c r="Q422" i="28"/>
  <c r="Q419" i="28"/>
  <c r="Q418" i="28"/>
  <c r="Q420" i="28"/>
  <c r="C101" i="19"/>
  <c r="G422" i="28"/>
  <c r="G419" i="28"/>
  <c r="L17" i="26"/>
  <c r="R17" i="26"/>
  <c r="O17" i="26"/>
  <c r="L101" i="19"/>
  <c r="I421" i="28"/>
  <c r="I422" i="28"/>
  <c r="K316" i="28"/>
  <c r="G101" i="19"/>
  <c r="N316" i="28"/>
  <c r="N409" i="28"/>
  <c r="M316" i="28"/>
  <c r="H422" i="28"/>
  <c r="H423" i="28"/>
  <c r="K101" i="19"/>
  <c r="E101" i="19"/>
  <c r="G421" i="28"/>
  <c r="I409" i="28"/>
  <c r="G409" i="28"/>
  <c r="G418" i="28"/>
  <c r="H419" i="28"/>
  <c r="D101" i="19"/>
  <c r="H409" i="28"/>
  <c r="I363" i="28"/>
  <c r="L11" i="26"/>
  <c r="G363" i="28"/>
  <c r="K423" i="28"/>
  <c r="P423" i="28"/>
  <c r="H101" i="19"/>
  <c r="L363" i="28"/>
  <c r="L14" i="26"/>
  <c r="R14" i="26"/>
  <c r="O14" i="26"/>
  <c r="I420" i="28"/>
  <c r="L423" i="28"/>
  <c r="J363" i="28"/>
  <c r="L12" i="26"/>
  <c r="R12" i="26"/>
  <c r="H363" i="28"/>
  <c r="L10" i="26"/>
  <c r="E103" i="19"/>
  <c r="J103" i="19"/>
  <c r="D103" i="19"/>
  <c r="G103" i="19"/>
  <c r="H103" i="19"/>
  <c r="H104" i="19"/>
  <c r="G104" i="19"/>
  <c r="I103" i="19"/>
  <c r="O110" i="19"/>
  <c r="K103" i="19"/>
  <c r="F104" i="19"/>
  <c r="BM66" i="33"/>
  <c r="P66" i="33"/>
  <c r="K66" i="33"/>
  <c r="BF71" i="33"/>
  <c r="BH70" i="33"/>
  <c r="AJ72" i="33"/>
  <c r="L71" i="33"/>
  <c r="BE72" i="33"/>
  <c r="AG71" i="33"/>
  <c r="U72" i="33"/>
  <c r="BD64" i="33"/>
  <c r="BI75" i="33"/>
  <c r="AD66" i="33"/>
  <c r="P70" i="33"/>
  <c r="AI74" i="33"/>
  <c r="K71" i="33"/>
  <c r="BH71" i="33"/>
  <c r="AJ64" i="33"/>
  <c r="AX72" i="33"/>
  <c r="AR69" i="33"/>
  <c r="AW75" i="33"/>
  <c r="R73" i="33"/>
  <c r="BM70" i="33"/>
  <c r="BA75" i="33"/>
  <c r="AW70" i="33"/>
  <c r="AF67" i="33"/>
  <c r="AB70" i="33"/>
  <c r="AK74" i="33"/>
  <c r="AJ66" i="33"/>
  <c r="H67" i="33"/>
  <c r="I75" i="33"/>
  <c r="AF65" i="33"/>
  <c r="BM67" i="33"/>
  <c r="K75" i="33"/>
  <c r="AT64" i="33"/>
  <c r="AH68" i="33"/>
  <c r="V74" i="33"/>
  <c r="BP68" i="33"/>
  <c r="O69" i="33"/>
  <c r="AV73" i="33"/>
  <c r="AS70" i="33"/>
  <c r="AG75" i="33"/>
  <c r="O70" i="33"/>
  <c r="AF75" i="33"/>
  <c r="M68" i="33"/>
  <c r="AV67" i="33"/>
  <c r="BQ67" i="33"/>
  <c r="AF71" i="33"/>
  <c r="T72" i="33"/>
  <c r="BL66" i="33"/>
  <c r="M66" i="33"/>
  <c r="M70" i="33"/>
  <c r="BM74" i="33"/>
  <c r="BL70" i="33"/>
  <c r="BG71" i="33"/>
  <c r="AI70" i="33"/>
  <c r="AP71" i="33"/>
  <c r="U64" i="33"/>
  <c r="AO66" i="33"/>
  <c r="AI68" i="33"/>
  <c r="W64" i="33"/>
  <c r="AT73" i="33"/>
  <c r="L69" i="33"/>
  <c r="H66" i="33"/>
  <c r="AH65" i="33"/>
  <c r="L74" i="33"/>
  <c r="BE74" i="33"/>
  <c r="U65" i="33"/>
  <c r="T74" i="33"/>
  <c r="H70" i="33"/>
  <c r="K67" i="33"/>
  <c r="AG73" i="33"/>
  <c r="U69" i="33"/>
  <c r="T66" i="33"/>
  <c r="Q73" i="33"/>
  <c r="BK69" i="33"/>
  <c r="X68" i="33"/>
  <c r="BQ71" i="33"/>
  <c r="AS67" i="33"/>
  <c r="H69" i="33"/>
  <c r="BO75" i="33"/>
  <c r="BC75" i="33"/>
  <c r="G70" i="33"/>
  <c r="BN69" i="33"/>
  <c r="AD75" i="33"/>
  <c r="BM73" i="33"/>
  <c r="Q68" i="33"/>
  <c r="E74" i="33"/>
  <c r="AN66" i="33"/>
  <c r="AB73" i="33"/>
  <c r="D74" i="33"/>
  <c r="AM70" i="33"/>
  <c r="BK64" i="33"/>
  <c r="AY64" i="33"/>
  <c r="AM74" i="33"/>
  <c r="O72" i="33"/>
  <c r="AX69" i="33"/>
  <c r="BF72" i="33"/>
  <c r="AW74" i="33"/>
  <c r="AK66" i="33"/>
  <c r="Y73" i="33"/>
  <c r="M67" i="33"/>
  <c r="BG75" i="33"/>
  <c r="AI65" i="33"/>
  <c r="W69" i="33"/>
  <c r="BF68" i="33"/>
  <c r="AT68" i="33"/>
  <c r="AH75" i="33"/>
  <c r="J72" i="33"/>
  <c r="N69" i="33"/>
  <c r="BH64" i="33"/>
  <c r="AV71" i="33"/>
  <c r="AJ69" i="33"/>
  <c r="X72" i="33"/>
  <c r="L73" i="33"/>
  <c r="BQ72" i="33"/>
  <c r="BE70" i="33"/>
  <c r="AS66" i="33"/>
  <c r="AG65" i="33"/>
  <c r="U71" i="33"/>
  <c r="I68" i="33"/>
  <c r="AF66" i="33"/>
  <c r="BP74" i="33"/>
  <c r="BD66" i="33"/>
  <c r="AR65" i="33"/>
  <c r="AF70" i="33"/>
  <c r="T75" i="33"/>
  <c r="H74" i="33"/>
  <c r="AA66" i="33"/>
  <c r="G75" i="33"/>
  <c r="G68" i="33"/>
  <c r="AB71" i="33"/>
  <c r="AP70" i="33"/>
  <c r="K68" i="33"/>
  <c r="Q72" i="33"/>
  <c r="AZ73" i="33"/>
  <c r="AN70" i="33"/>
  <c r="D65" i="33"/>
  <c r="BK68" i="33"/>
  <c r="AA68" i="33"/>
  <c r="E71" i="33"/>
  <c r="BI64" i="33"/>
  <c r="AW64" i="33"/>
  <c r="AK70" i="33"/>
  <c r="Y67" i="33"/>
  <c r="M71" i="33"/>
  <c r="AI64" i="33"/>
  <c r="W75" i="33"/>
  <c r="R70" i="33"/>
  <c r="BF73" i="33"/>
  <c r="AT74" i="33"/>
  <c r="AH74" i="33"/>
  <c r="BH69" i="33"/>
  <c r="AV70" i="33"/>
  <c r="X67" i="33"/>
  <c r="AU71" i="33"/>
  <c r="BQ66" i="33"/>
  <c r="AS69" i="33"/>
  <c r="AG70" i="33"/>
  <c r="U66" i="33"/>
  <c r="I72" i="33"/>
  <c r="BP64" i="33"/>
  <c r="BD74" i="33"/>
  <c r="AR70" i="33"/>
  <c r="T67" i="33"/>
  <c r="G73" i="33"/>
  <c r="AC66" i="33"/>
  <c r="BG73" i="33"/>
  <c r="BG70" i="33"/>
  <c r="BG65" i="33"/>
  <c r="AZ66" i="33"/>
  <c r="D69" i="33"/>
  <c r="BK74" i="33"/>
  <c r="AA67" i="33"/>
  <c r="BI68" i="33"/>
  <c r="AW72" i="33"/>
  <c r="AK64" i="33"/>
  <c r="Y71" i="33"/>
  <c r="M65" i="33"/>
  <c r="AU65" i="33"/>
  <c r="AI69" i="33"/>
  <c r="W73" i="33"/>
  <c r="BF74" i="33"/>
  <c r="V71" i="33"/>
  <c r="BA68" i="33"/>
  <c r="P67" i="33"/>
  <c r="BH68" i="33"/>
  <c r="AV65" i="33"/>
  <c r="X66" i="33"/>
  <c r="L68" i="33"/>
  <c r="AI66" i="33"/>
  <c r="BQ65" i="33"/>
  <c r="BE68" i="33"/>
  <c r="AS64" i="33"/>
  <c r="I74" i="33"/>
  <c r="BP67" i="33"/>
  <c r="BD68" i="33"/>
  <c r="AR64" i="33"/>
  <c r="T71" i="33"/>
  <c r="H68" i="33"/>
  <c r="G65" i="33"/>
  <c r="BB67" i="33"/>
  <c r="AA64" i="33"/>
  <c r="AC71" i="33"/>
  <c r="AZ70" i="33"/>
  <c r="D72" i="33"/>
  <c r="BK75" i="33"/>
  <c r="AA71" i="33"/>
  <c r="O66" i="33"/>
  <c r="BI73" i="33"/>
  <c r="AW68" i="33"/>
  <c r="AK72" i="33"/>
  <c r="Y65" i="33"/>
  <c r="M69" i="33"/>
  <c r="AP72" i="33"/>
  <c r="AU73" i="33"/>
  <c r="K64" i="33"/>
  <c r="AH73" i="33"/>
  <c r="V65" i="33"/>
  <c r="AO68" i="33"/>
  <c r="BH67" i="33"/>
  <c r="AV64" i="33"/>
  <c r="AJ71" i="33"/>
  <c r="X71" i="33"/>
  <c r="L67" i="33"/>
  <c r="BQ70" i="33"/>
  <c r="BE67" i="33"/>
  <c r="AS68" i="33"/>
  <c r="AG64" i="33"/>
  <c r="U70" i="33"/>
  <c r="I71" i="33"/>
  <c r="BP66" i="33"/>
  <c r="BD67" i="33"/>
  <c r="AR74" i="33"/>
  <c r="AF69" i="33"/>
  <c r="T65" i="33"/>
  <c r="H73" i="33"/>
  <c r="AQ72" i="33"/>
  <c r="G69" i="33"/>
  <c r="BB66" i="33"/>
  <c r="BA66" i="33"/>
  <c r="AI72" i="33"/>
  <c r="AI71" i="33"/>
  <c r="D67" i="33"/>
  <c r="BM64" i="33"/>
  <c r="BK73" i="33"/>
  <c r="AA73" i="33"/>
  <c r="E66" i="33"/>
  <c r="BI74" i="33"/>
  <c r="AW67" i="33"/>
  <c r="AK67" i="33"/>
  <c r="Y69" i="33"/>
  <c r="M74" i="33"/>
  <c r="AU64" i="33"/>
  <c r="AI75" i="33"/>
  <c r="K69" i="33"/>
  <c r="AH71" i="33"/>
  <c r="V73" i="33"/>
  <c r="BI70" i="33"/>
  <c r="BH72" i="33"/>
  <c r="AV69" i="33"/>
  <c r="AJ70" i="33"/>
  <c r="X70" i="33"/>
  <c r="L66" i="33"/>
  <c r="BQ74" i="33"/>
  <c r="BE73" i="33"/>
  <c r="AS71" i="33"/>
  <c r="AG72" i="33"/>
  <c r="U73" i="33"/>
  <c r="I66" i="33"/>
  <c r="BP69" i="33"/>
  <c r="BD71" i="33"/>
  <c r="AR75" i="33"/>
  <c r="AF64" i="33"/>
  <c r="T70" i="33"/>
  <c r="H71" i="33"/>
  <c r="BK66" i="33"/>
  <c r="R75" i="33"/>
  <c r="BA71" i="33"/>
  <c r="AB72" i="33"/>
  <c r="D64" i="33"/>
  <c r="BI67" i="33"/>
  <c r="AW71" i="33"/>
  <c r="AK71" i="33"/>
  <c r="Y72" i="33"/>
  <c r="M75" i="33"/>
  <c r="BG67" i="33"/>
  <c r="AU69" i="33"/>
  <c r="W68" i="33"/>
  <c r="AT69" i="33"/>
  <c r="V72" i="33"/>
  <c r="Y70" i="33"/>
  <c r="BH73" i="33"/>
  <c r="AV72" i="33"/>
  <c r="AJ65" i="33"/>
  <c r="X64" i="33"/>
  <c r="AG66" i="33"/>
  <c r="BQ75" i="33"/>
  <c r="BE66" i="33"/>
  <c r="AG67" i="33"/>
  <c r="I65" i="33"/>
  <c r="BP71" i="33"/>
  <c r="BD65" i="33"/>
  <c r="AR68" i="33"/>
  <c r="AF68" i="33"/>
  <c r="T69" i="33"/>
  <c r="Y66" i="33"/>
  <c r="BF64" i="33"/>
  <c r="G67" i="33"/>
  <c r="BN74" i="33"/>
  <c r="BK72" i="33"/>
  <c r="AA74" i="33"/>
  <c r="S71" i="33"/>
  <c r="G71" i="33"/>
  <c r="AT65" i="33"/>
  <c r="BN71" i="33"/>
  <c r="BB65" i="33"/>
  <c r="R68" i="33"/>
  <c r="BA73" i="33"/>
  <c r="AO70" i="33"/>
  <c r="AC75" i="33"/>
  <c r="E70" i="33"/>
  <c r="BL75" i="33"/>
  <c r="D68" i="33"/>
  <c r="AY68" i="33"/>
  <c r="AA65" i="33"/>
  <c r="N72" i="33"/>
  <c r="M64" i="33"/>
  <c r="BI71" i="33"/>
  <c r="AW65" i="33"/>
  <c r="AK65" i="33"/>
  <c r="Y74" i="33"/>
  <c r="W74" i="33"/>
  <c r="AP66" i="33"/>
  <c r="BG72" i="33"/>
  <c r="AU72" i="33"/>
  <c r="W72" i="33"/>
  <c r="AT72" i="33"/>
  <c r="E68" i="33"/>
  <c r="AM68" i="33"/>
  <c r="BH74" i="33"/>
  <c r="X69" i="33"/>
  <c r="L70" i="33"/>
  <c r="BQ68" i="33"/>
  <c r="BQ73" i="33"/>
  <c r="AS75" i="33"/>
  <c r="I70" i="33"/>
  <c r="BP72" i="33"/>
  <c r="BD70" i="33"/>
  <c r="AR67" i="33"/>
  <c r="T64" i="33"/>
  <c r="H65" i="33"/>
  <c r="BN66" i="33"/>
  <c r="Q66" i="33"/>
  <c r="AA69" i="33"/>
  <c r="AZ71" i="33"/>
  <c r="AN67" i="33"/>
  <c r="AB75" i="33"/>
  <c r="D66" i="33"/>
  <c r="BK67" i="33"/>
  <c r="AM67" i="33"/>
  <c r="AA70" i="33"/>
  <c r="W67" i="33"/>
  <c r="BI65" i="33"/>
  <c r="AW69" i="33"/>
  <c r="AK69" i="33"/>
  <c r="Y75" i="33"/>
  <c r="AD70" i="33"/>
  <c r="BG64" i="33"/>
  <c r="AU68" i="33"/>
  <c r="W66" i="33"/>
  <c r="AT75" i="33"/>
  <c r="AH72" i="33"/>
  <c r="J64" i="33"/>
  <c r="AR73" i="33"/>
  <c r="BH75" i="33"/>
  <c r="AV74" i="33"/>
  <c r="AJ68" i="33"/>
  <c r="X74" i="33"/>
  <c r="L65" i="33"/>
  <c r="BE75" i="33"/>
  <c r="AS73" i="33"/>
  <c r="I69" i="33"/>
  <c r="BP73" i="33"/>
  <c r="BD72" i="33"/>
  <c r="AR71" i="33"/>
  <c r="AF72" i="33"/>
  <c r="T68" i="33"/>
  <c r="Z74" i="33"/>
  <c r="G74" i="33"/>
  <c r="BB73" i="33"/>
  <c r="BA70" i="33"/>
  <c r="AZ75" i="33"/>
  <c r="D70" i="33"/>
  <c r="BK71" i="33"/>
  <c r="BR71" i="33"/>
  <c r="AA75" i="33"/>
  <c r="AW66" i="33"/>
  <c r="BI69" i="33"/>
  <c r="AW73" i="33"/>
  <c r="AK73" i="33"/>
  <c r="M73" i="33"/>
  <c r="BL67" i="33"/>
  <c r="BG69" i="33"/>
  <c r="AU67" i="33"/>
  <c r="W71" i="33"/>
  <c r="BF75" i="33"/>
  <c r="V64" i="33"/>
  <c r="J68" i="33"/>
  <c r="BH65" i="33"/>
  <c r="AV66" i="33"/>
  <c r="AV75" i="33"/>
  <c r="AJ74" i="33"/>
  <c r="X73" i="33"/>
  <c r="L75" i="33"/>
  <c r="BQ64" i="33"/>
  <c r="AS74" i="33"/>
  <c r="AG74" i="33"/>
  <c r="U68" i="33"/>
  <c r="I64" i="33"/>
  <c r="BP75" i="33"/>
  <c r="BD75" i="33"/>
  <c r="AR66" i="33"/>
  <c r="AF73" i="33"/>
  <c r="T73" i="33"/>
  <c r="BN70" i="33"/>
  <c r="BI66" i="33"/>
  <c r="D75" i="33"/>
  <c r="BK65" i="33"/>
  <c r="AY73" i="33"/>
  <c r="BI72" i="33"/>
  <c r="AK75" i="33"/>
  <c r="AU66" i="33"/>
  <c r="BG68" i="33"/>
  <c r="AU74" i="33"/>
  <c r="W70" i="33"/>
  <c r="K65" i="33"/>
  <c r="V68" i="33"/>
  <c r="J73" i="33"/>
  <c r="AV68" i="33"/>
  <c r="AJ67" i="33"/>
  <c r="AJ73" i="33"/>
  <c r="X75" i="33"/>
  <c r="L72" i="33"/>
  <c r="BQ69" i="33"/>
  <c r="BE64" i="33"/>
  <c r="AG68" i="33"/>
  <c r="U67" i="33"/>
  <c r="U75" i="33"/>
  <c r="I73" i="33"/>
  <c r="BP65" i="33"/>
  <c r="BD69" i="33"/>
  <c r="BD73" i="33"/>
  <c r="AR72" i="33"/>
  <c r="AF74" i="33"/>
  <c r="H72" i="33"/>
  <c r="AA72" i="33"/>
  <c r="G72" i="33"/>
  <c r="G66" i="33"/>
  <c r="BA72" i="33"/>
  <c r="AC70" i="33"/>
  <c r="R66" i="33"/>
  <c r="AB66" i="33"/>
  <c r="P73" i="33"/>
  <c r="D73" i="33"/>
  <c r="BK70" i="33"/>
  <c r="BR70" i="33"/>
  <c r="Y64" i="33"/>
  <c r="BC64" i="33"/>
  <c r="BG66" i="33"/>
  <c r="K73" i="33"/>
  <c r="AH64" i="33"/>
  <c r="V75" i="33"/>
  <c r="J74" i="33"/>
  <c r="BH66" i="33"/>
  <c r="X65" i="33"/>
  <c r="L64" i="33"/>
  <c r="I67" i="33"/>
  <c r="BB68" i="33"/>
  <c r="P420" i="28"/>
  <c r="E6" i="68"/>
  <c r="M423" i="28"/>
  <c r="K420" i="28"/>
  <c r="Q17" i="26"/>
  <c r="O420" i="28"/>
  <c r="N420" i="28"/>
  <c r="L420" i="28"/>
  <c r="Q19" i="26"/>
  <c r="M19" i="26"/>
  <c r="Q18" i="26"/>
  <c r="M18" i="26"/>
  <c r="O18" i="26"/>
  <c r="M17" i="26"/>
  <c r="J13" i="68"/>
  <c r="J8" i="68"/>
  <c r="G420" i="28"/>
  <c r="Q423" i="28"/>
  <c r="J420" i="28"/>
  <c r="G423" i="28"/>
  <c r="I423" i="28"/>
  <c r="C115" i="19"/>
  <c r="I101" i="19"/>
  <c r="H420" i="28"/>
  <c r="J7" i="68"/>
  <c r="J9" i="68"/>
  <c r="J14" i="68"/>
  <c r="J12" i="68"/>
  <c r="L13" i="26"/>
  <c r="K363" i="28"/>
  <c r="J6" i="68"/>
  <c r="M363" i="28"/>
  <c r="L15" i="26"/>
  <c r="J15" i="68"/>
  <c r="J10" i="68"/>
  <c r="J16" i="68"/>
  <c r="M14" i="26"/>
  <c r="C6" i="68" a="1"/>
  <c r="N363" i="28"/>
  <c r="L16" i="26"/>
  <c r="J11" i="68"/>
  <c r="Q14" i="26"/>
  <c r="J17" i="68"/>
  <c r="R9" i="26"/>
  <c r="M9" i="26"/>
  <c r="R10" i="26"/>
  <c r="R11" i="26"/>
  <c r="M11" i="26"/>
  <c r="M103" i="19"/>
  <c r="C105" i="19"/>
  <c r="E104" i="19"/>
  <c r="Z66" i="33"/>
  <c r="BR73" i="33"/>
  <c r="BJ72" i="33"/>
  <c r="Z69" i="33"/>
  <c r="BR68" i="33"/>
  <c r="Z75" i="33"/>
  <c r="F75" i="33"/>
  <c r="Z72" i="33"/>
  <c r="Z71" i="33"/>
  <c r="BR66" i="33"/>
  <c r="BR75" i="33"/>
  <c r="F68" i="33"/>
  <c r="F65" i="33"/>
  <c r="F72" i="33"/>
  <c r="BJ75" i="33"/>
  <c r="F73" i="33"/>
  <c r="H64" i="33"/>
  <c r="Z64" i="33"/>
  <c r="BR69" i="33"/>
  <c r="F70" i="33"/>
  <c r="F67" i="33"/>
  <c r="Z73" i="33"/>
  <c r="BR72" i="33"/>
  <c r="Z70" i="33"/>
  <c r="F64" i="33"/>
  <c r="BR67" i="33"/>
  <c r="BR64" i="33"/>
  <c r="BR74" i="33"/>
  <c r="F66" i="33"/>
  <c r="F69" i="33"/>
  <c r="BR65" i="33"/>
  <c r="Z67" i="33"/>
  <c r="F71" i="33"/>
  <c r="Z65" i="33"/>
  <c r="Z68" i="33"/>
  <c r="F74" i="33"/>
  <c r="Q12" i="26"/>
  <c r="M12" i="26"/>
  <c r="M101" i="19"/>
  <c r="D115" i="19"/>
  <c r="O12" i="26"/>
  <c r="E115" i="19"/>
  <c r="R13" i="26"/>
  <c r="M13" i="26"/>
  <c r="R16" i="26"/>
  <c r="M16" i="26"/>
  <c r="R15" i="26"/>
  <c r="M15" i="26"/>
  <c r="C6" i="68"/>
  <c r="I6" i="68"/>
  <c r="I16" i="68"/>
  <c r="I10" i="68"/>
  <c r="I12" i="68"/>
  <c r="I9" i="68"/>
  <c r="I8" i="68"/>
  <c r="I14" i="68"/>
  <c r="I13" i="68"/>
  <c r="I7" i="68"/>
  <c r="I17" i="68"/>
  <c r="I11" i="68"/>
  <c r="I15" i="68"/>
  <c r="O9" i="26"/>
  <c r="Q9" i="26"/>
  <c r="Q10" i="26"/>
  <c r="O10" i="26"/>
  <c r="Q11" i="26"/>
  <c r="O11" i="26"/>
  <c r="M10" i="26"/>
  <c r="D104" i="19"/>
  <c r="BS75" i="33"/>
  <c r="BJ64" i="33"/>
  <c r="BS64" i="33"/>
  <c r="BJ65" i="33"/>
  <c r="BS65" i="33"/>
  <c r="BJ69" i="33"/>
  <c r="BS69" i="33"/>
  <c r="BJ74" i="33"/>
  <c r="BJ73" i="33"/>
  <c r="BJ70" i="33"/>
  <c r="BS70" i="33"/>
  <c r="BJ67" i="33"/>
  <c r="BJ68" i="33"/>
  <c r="BS68" i="33"/>
  <c r="BJ66" i="33"/>
  <c r="BJ71" i="33"/>
  <c r="Q13" i="26"/>
  <c r="O13" i="26"/>
  <c r="O15" i="26"/>
  <c r="Q15" i="26"/>
  <c r="O16" i="26"/>
  <c r="Q16" i="26"/>
  <c r="C104" i="19"/>
  <c r="D102" i="19"/>
  <c r="D106" i="19"/>
  <c r="BS66" i="33"/>
  <c r="BS67" i="33"/>
  <c r="BS72" i="33"/>
  <c r="BS71" i="33"/>
  <c r="BS74" i="33"/>
  <c r="H102" i="19"/>
  <c r="H106" i="19"/>
  <c r="BS73" i="33"/>
  <c r="E102" i="19"/>
  <c r="E106" i="19"/>
  <c r="G102" i="19"/>
  <c r="G106" i="19"/>
  <c r="I102" i="19"/>
  <c r="I106" i="19"/>
  <c r="L102" i="19"/>
  <c r="L106" i="19"/>
  <c r="J102" i="19"/>
  <c r="J106" i="19"/>
  <c r="F102" i="19"/>
  <c r="F106" i="19"/>
  <c r="C102" i="19"/>
  <c r="C106" i="19"/>
  <c r="K102" i="19"/>
  <c r="K106" i="19"/>
  <c r="M102" i="19"/>
  <c r="M111" i="19"/>
  <c r="M112" i="19"/>
  <c r="C111" i="19"/>
  <c r="C112" i="19"/>
  <c r="H111" i="19"/>
  <c r="H112" i="19"/>
  <c r="N111" i="19"/>
  <c r="D111" i="19"/>
  <c r="I111" i="19"/>
  <c r="M106" i="19"/>
  <c r="D9" i="19"/>
  <c r="D26" i="19"/>
  <c r="D21" i="19"/>
  <c r="D18" i="19"/>
  <c r="D20" i="19"/>
  <c r="D11" i="19"/>
  <c r="D29" i="19"/>
  <c r="D34" i="19"/>
  <c r="D12" i="19"/>
  <c r="D23" i="19"/>
  <c r="D28" i="19"/>
  <c r="D22" i="19"/>
  <c r="D30" i="19"/>
  <c r="D31" i="19"/>
  <c r="D32" i="19"/>
  <c r="D25" i="19"/>
  <c r="D10" i="19"/>
  <c r="D33" i="19"/>
  <c r="D27" i="19"/>
  <c r="D19" i="19"/>
  <c r="D24" i="19"/>
  <c r="D16" i="19"/>
  <c r="E111" i="19"/>
  <c r="D112" i="19"/>
  <c r="E112" i="19"/>
  <c r="O111" i="19"/>
  <c r="N112" i="19"/>
  <c r="O112" i="19"/>
  <c r="D15" i="19"/>
  <c r="J111" i="19"/>
  <c r="I112" i="19"/>
  <c r="J11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tc={1758F85C-1326-2647-8EF8-4778C4212BD8}</author>
    <author>Thibault GABRIEL</author>
    <author>tc={F3CA0E2E-DCA2-E042-8D81-E5F3CE0B6C0A}</author>
    <author>briac</author>
  </authors>
  <commentList>
    <comment ref="L54" authorId="0" shapeId="0" xr:uid="{1758F85C-1326-2647-8EF8-4778C4212BD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Est-ce que l’ensemble des étudiants sont présents sur le site et doivent être considérés pour le Bilan Carbone ?</t>
      </text>
    </comment>
    <comment ref="N54" authorId="1" shapeId="0" xr:uid="{AF461245-7441-4F8C-B250-E1CC44B50CB6}">
      <text>
        <r>
          <rPr>
            <b/>
            <sz val="9"/>
            <color indexed="81"/>
            <rFont val="Tahoma"/>
            <family val="2"/>
          </rPr>
          <t>Thibault GABRIEL:</t>
        </r>
        <r>
          <rPr>
            <sz val="9"/>
            <color indexed="81"/>
            <rFont val="Tahoma"/>
            <family val="2"/>
          </rPr>
          <t xml:space="preserve">
A remplacer par valeur exacte
</t>
        </r>
      </text>
    </comment>
    <comment ref="M72" authorId="2" shapeId="0" xr:uid="{F3CA0E2E-DCA2-E042-8D81-E5F3CE0B6C0A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Incertitude non négligeable sur les déplacements aériens étudiants</t>
      </text>
    </comment>
    <comment ref="B92" authorId="3" shapeId="0" xr:uid="{2F2BF5C6-5B7A-4455-9BF7-1DA572559A90}">
      <text>
        <r>
          <rPr>
            <b/>
            <sz val="9"/>
            <color indexed="81"/>
            <rFont val="Tahoma"/>
            <family val="2"/>
          </rPr>
          <t>briac:</t>
        </r>
        <r>
          <rPr>
            <sz val="9"/>
            <color indexed="81"/>
            <rFont val="Tahoma"/>
            <family val="2"/>
          </rPr>
          <t xml:space="preserve">
Voir le Bilan E pour obtenir les données correspondantes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Thibault GABRIEL</author>
    <author>Corentin</author>
    <author>Anas Bouayad</author>
    <author>Juliette Tissot</author>
  </authors>
  <commentList>
    <comment ref="D3" authorId="0" shapeId="0" xr:uid="{62117CBE-9E62-4A9F-87FA-49123EBEF719}">
      <text>
        <r>
          <rPr>
            <b/>
            <sz val="9"/>
            <color indexed="81"/>
            <rFont val="Tahoma"/>
            <family val="2"/>
          </rPr>
          <t>Thibault GABRIEL:</t>
        </r>
        <r>
          <rPr>
            <sz val="9"/>
            <color indexed="81"/>
            <rFont val="Tahoma"/>
            <family val="2"/>
          </rPr>
          <t xml:space="preserve">
Données Base Carbone ADEME</t>
        </r>
      </text>
    </comment>
    <comment ref="D13" authorId="1" shapeId="0" xr:uid="{A27E049A-07D7-4AD9-BB33-FAD3305C7776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Variation très peu significative entre 2009 et 2016 de 0,075 à 0,077</t>
        </r>
      </text>
    </comment>
    <comment ref="D14" authorId="1" shapeId="0" xr:uid="{F6F20C72-567C-4115-A187-20D5E3092D56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Variation très peu significative entre 2009 et 2016 de 0,075 à 0,077</t>
        </r>
      </text>
    </comment>
    <comment ref="T46" authorId="2" shapeId="0" xr:uid="{2C831965-EC94-494F-84BD-3E6F9430FD6E}">
      <text>
        <r>
          <rPr>
            <b/>
            <sz val="9"/>
            <color indexed="81"/>
            <rFont val="Tahoma"/>
            <family val="2"/>
          </rPr>
          <t>Anas Bouayad:
Bizarretés en consommation --&gt; Résidences I 2017, Jacquard 2017</t>
        </r>
      </text>
    </comment>
    <comment ref="F48" authorId="1" shapeId="0" xr:uid="{283F030E-456F-4ACC-BD3E-CB96F57FD2FB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Pas de compteur jusqu'en 2013
</t>
        </r>
      </text>
    </comment>
    <comment ref="I48" authorId="1" shapeId="0" xr:uid="{D4659866-3F71-496A-811C-E1662300E198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Valeur déduite des années 2014-2016</t>
        </r>
      </text>
    </comment>
    <comment ref="J48" authorId="1" shapeId="0" xr:uid="{F66937C2-C201-41B9-B476-43835F0107F5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Valeur déduite des années 2014-2016</t>
        </r>
      </text>
    </comment>
    <comment ref="K48" authorId="1" shapeId="0" xr:uid="{0DFAD223-2D38-4CFA-B015-D0BADA095120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Valeur déduite des années 2014-2016</t>
        </r>
      </text>
    </comment>
    <comment ref="L51" authorId="1" shapeId="0" xr:uid="{D25E89D3-2A8C-4BB9-9B32-EF761066F33F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Livraison travaux mecamat (A vérifier)</t>
        </r>
      </text>
    </comment>
    <comment ref="F62" authorId="1" shapeId="0" xr:uid="{858832F0-7F2D-40B8-A419-D9630CBED12C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IMBL est compris dedans
</t>
        </r>
      </text>
    </comment>
    <comment ref="F65" authorId="2" shapeId="0" xr:uid="{59E0E389-B411-454A-85C1-16B4CFFC7CE2}">
      <text>
        <r>
          <rPr>
            <b/>
            <sz val="9"/>
            <color indexed="81"/>
            <rFont val="Tahoma"/>
            <family val="2"/>
          </rPr>
          <t>Anas Bouayad:</t>
        </r>
        <r>
          <rPr>
            <sz val="9"/>
            <color indexed="81"/>
            <rFont val="Tahoma"/>
            <family val="2"/>
          </rPr>
          <t xml:space="preserve">
Bâtiment nouveau. Données à partir de 2018.</t>
        </r>
      </text>
    </comment>
    <comment ref="F66" authorId="2" shapeId="0" xr:uid="{B8123AFD-29CA-40A8-B908-C1B9DB09279B}">
      <text>
        <r>
          <rPr>
            <b/>
            <sz val="9"/>
            <color indexed="81"/>
            <rFont val="Tahoma"/>
            <family val="2"/>
          </rPr>
          <t>Anas Bouayad:</t>
        </r>
        <r>
          <rPr>
            <sz val="9"/>
            <color indexed="81"/>
            <rFont val="Tahoma"/>
            <family val="2"/>
          </rPr>
          <t xml:space="preserve">
Bâtiment nouveau. Données à partir de 2018.</t>
        </r>
      </text>
    </comment>
    <comment ref="E69" authorId="2" shapeId="0" xr:uid="{EE924D83-1004-4701-B9D3-F91994B77772}">
      <text>
        <r>
          <rPr>
            <b/>
            <sz val="9"/>
            <color indexed="81"/>
            <rFont val="Tahoma"/>
            <family val="2"/>
          </rPr>
          <t>Anas Bouayad:
TGBT 302? A vérifier</t>
        </r>
      </text>
    </comment>
    <comment ref="F69" authorId="1" shapeId="0" xr:uid="{2D9CA129-19D1-4F79-9146-EB436B389EF4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Ou Médiathèque</t>
        </r>
      </text>
    </comment>
    <comment ref="I74" authorId="1" shapeId="0" xr:uid="{38188B57-1666-4E82-9265-A0994E65FD31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Valeur déduite des années 2014-2016</t>
        </r>
      </text>
    </comment>
    <comment ref="Q74" authorId="3" shapeId="0" xr:uid="{A5F11260-4DF1-4F3C-A12D-C36BA9908010}">
      <text>
        <r>
          <rPr>
            <b/>
            <sz val="9"/>
            <color indexed="81"/>
            <rFont val="Tahoma"/>
            <family val="2"/>
          </rPr>
          <t>Juliette Tissot:</t>
        </r>
        <r>
          <rPr>
            <sz val="9"/>
            <color indexed="81"/>
            <rFont val="Tahoma"/>
            <family val="2"/>
          </rPr>
          <t xml:space="preserve">
Compteur défaillant</t>
        </r>
      </text>
    </comment>
    <comment ref="F75" authorId="1" shapeId="0" xr:uid="{67C172F4-BE87-45DA-9B07-4F1FD8573BF1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Relevé à partir d'Avril 2013</t>
        </r>
      </text>
    </comment>
    <comment ref="I75" authorId="1" shapeId="0" xr:uid="{3D8FA8C2-36F3-4987-B25E-34E503075EAD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Valeur déduite des années 2014-2016</t>
        </r>
      </text>
    </comment>
    <comment ref="J75" authorId="1" shapeId="0" xr:uid="{4EF9CD64-06E8-4348-B1DE-558FC1F9BCDF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Valeur déduite des années 2014-2016</t>
        </r>
      </text>
    </comment>
    <comment ref="K75" authorId="1" shapeId="0" xr:uid="{D3EB04D5-08D1-42FA-818F-5F0D711695B6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Valeur déduite des années 2014-2016</t>
        </r>
      </text>
    </comment>
    <comment ref="F76" authorId="1" shapeId="0" xr:uid="{EE39358F-8808-4871-B12F-39E15E6BA2D9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Relevé à partir d'Avril 2013</t>
        </r>
      </text>
    </comment>
    <comment ref="I76" authorId="1" shapeId="0" xr:uid="{E264B5FC-6823-4C54-91C0-FCDFBA0F8030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Valeur déduite des années 2014-2016</t>
        </r>
      </text>
    </comment>
    <comment ref="J76" authorId="1" shapeId="0" xr:uid="{5C04E5F7-347B-426F-AA57-3C1F5C1D1B47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Valeur déduite des années 2014-2016</t>
        </r>
      </text>
    </comment>
    <comment ref="K76" authorId="1" shapeId="0" xr:uid="{6127DB6F-6A9C-433A-A324-74CEFAE4B7F0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Valeur déduite des années 2014-2016</t>
        </r>
      </text>
    </comment>
    <comment ref="F81" authorId="1" shapeId="0" xr:uid="{C9E97F3B-0B3A-4FA6-A351-1C1D81E4434A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Avant 2011 problème avec le relevé du compteur</t>
        </r>
      </text>
    </comment>
    <comment ref="F82" authorId="1" shapeId="0" xr:uid="{3C83AE2D-EA34-4465-8569-F22FA2DDF854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Avant 2011 problème avec le relevé du compteur</t>
        </r>
      </text>
    </comment>
    <comment ref="G83" authorId="1" shapeId="0" xr:uid="{2B184544-4FDB-4E84-B619-B50449C9B899}">
      <text>
        <r>
          <rPr>
            <b/>
            <sz val="9"/>
            <color rgb="FF000000"/>
            <rFont val="Tahoma"/>
            <family val="2"/>
          </rPr>
          <t>Corentin: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Valeur estimée</t>
        </r>
      </text>
    </comment>
    <comment ref="H83" authorId="1" shapeId="0" xr:uid="{A343B84F-0036-4DAC-AF90-AC846EEF5A91}">
      <text>
        <r>
          <rPr>
            <b/>
            <sz val="9"/>
            <color rgb="FF000000"/>
            <rFont val="Tahoma"/>
            <family val="2"/>
          </rPr>
          <t>Corentin: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Valeur estimée</t>
        </r>
      </text>
    </comment>
    <comment ref="G84" authorId="1" shapeId="0" xr:uid="{89931997-F1F0-4857-AF79-175184AAADA1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N'ayant pas assez de données détaillées, valeurs extraites du bilan global de l'INSA.</t>
        </r>
      </text>
    </comment>
    <comment ref="H84" authorId="1" shapeId="0" xr:uid="{BB6E121C-2F1C-4F49-8212-CDD7FA993D44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N'ayant pas assez de données détaillées, valeurs extraites du bilan global de l'INSA.</t>
        </r>
      </text>
    </comment>
    <comment ref="I84" authorId="1" shapeId="0" xr:uid="{E1664EA5-5B3F-4DFC-BAE6-A61B9319F14F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N'ayant pas assez de données détaillées, valeurs extraites du bilan global de l'INSA.
</t>
        </r>
      </text>
    </comment>
    <comment ref="F121" authorId="2" shapeId="0" xr:uid="{5D5F5A92-0676-41C2-B654-FA71BA477AC9}">
      <text>
        <r>
          <rPr>
            <b/>
            <sz val="9"/>
            <color indexed="81"/>
            <rFont val="Tahoma"/>
            <family val="2"/>
          </rPr>
          <t>Anas Bouayad:</t>
        </r>
        <r>
          <rPr>
            <sz val="9"/>
            <color indexed="81"/>
            <rFont val="Tahoma"/>
            <family val="2"/>
          </rPr>
          <t xml:space="preserve">
Bâtiment nouveau. Données à partir de 2018.</t>
        </r>
      </text>
    </comment>
    <comment ref="F122" authorId="2" shapeId="0" xr:uid="{1A4ED977-D5E7-49C1-AE0F-48F12806E3C9}">
      <text>
        <r>
          <rPr>
            <b/>
            <sz val="9"/>
            <color indexed="81"/>
            <rFont val="Tahoma"/>
            <family val="2"/>
          </rPr>
          <t>Anas Bouayad:</t>
        </r>
        <r>
          <rPr>
            <sz val="9"/>
            <color indexed="81"/>
            <rFont val="Tahoma"/>
            <family val="2"/>
          </rPr>
          <t xml:space="preserve">
Bâtiment nouveau. Données à partir de 2018.</t>
        </r>
      </text>
    </comment>
    <comment ref="G139" authorId="1" shapeId="0" xr:uid="{53D3213C-112F-479E-80C5-A2E1F380D2DE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Valeur estimée</t>
        </r>
      </text>
    </comment>
    <comment ref="H139" authorId="1" shapeId="0" xr:uid="{85F3CA68-8A2E-45A7-AC4A-EF4518D271F8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Valeur estimée</t>
        </r>
      </text>
    </comment>
    <comment ref="T152" authorId="0" shapeId="0" xr:uid="{D410B7BB-DE61-4DAA-88CE-98BEF626C3AD}">
      <text>
        <r>
          <rPr>
            <b/>
            <sz val="9"/>
            <color indexed="81"/>
            <rFont val="Tahoma"/>
            <charset val="1"/>
          </rPr>
          <t>Thibault GABRIEL:</t>
        </r>
        <r>
          <rPr>
            <sz val="9"/>
            <color indexed="81"/>
            <rFont val="Tahoma"/>
            <charset val="1"/>
          </rPr>
          <t xml:space="preserve">
commentaire fait en 2019, pas creusé pour bilan 2020
</t>
        </r>
      </text>
    </comment>
    <comment ref="F163" authorId="1" shapeId="0" xr:uid="{9814A030-4E96-4E66-A1F6-A0F2DF4425EA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Le relevé pour l'eau est tel que la conso des 2 bâtiments est comptée ensemble</t>
        </r>
      </text>
    </comment>
    <comment ref="R169" authorId="2" shapeId="0" xr:uid="{B8DA1B53-1F18-4F62-A967-05865E5A0C5B}">
      <text>
        <r>
          <rPr>
            <b/>
            <sz val="9"/>
            <color indexed="81"/>
            <rFont val="Tahoma"/>
            <family val="2"/>
          </rPr>
          <t>Anas Bouayad:</t>
        </r>
        <r>
          <rPr>
            <sz val="9"/>
            <color indexed="81"/>
            <rFont val="Tahoma"/>
            <family val="2"/>
          </rPr>
          <t xml:space="preserve">
Nappe-502?</t>
        </r>
      </text>
    </comment>
    <comment ref="R171" authorId="2" shapeId="0" xr:uid="{E978B96E-0F63-41B8-82FE-6490F887D4D3}">
      <text>
        <r>
          <rPr>
            <b/>
            <sz val="9"/>
            <color indexed="81"/>
            <rFont val="Tahoma"/>
            <family val="2"/>
          </rPr>
          <t>Anas Bouayad:</t>
        </r>
        <r>
          <rPr>
            <sz val="9"/>
            <color indexed="81"/>
            <rFont val="Tahoma"/>
            <family val="2"/>
          </rPr>
          <t xml:space="preserve">
Bâtiment SIDD?</t>
        </r>
      </text>
    </comment>
    <comment ref="F178" authorId="1" shapeId="0" xr:uid="{56913EA5-AB41-4B30-8AC4-34C57968A32C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Le relevé pour l'eau est tel que la conso des 2 bâtiments est comptée ensemble
</t>
        </r>
      </text>
    </comment>
    <comment ref="F210" authorId="1" shapeId="0" xr:uid="{E9313F7E-44C5-46FF-9663-468CB128E11D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Le relevé pour l'eau est tel que la conso des 2 bâtiments est comptée ensemble</t>
        </r>
      </text>
    </comment>
    <comment ref="F225" authorId="1" shapeId="0" xr:uid="{C7FE7C2D-905C-4694-9B6F-D98CB342110E}">
      <text>
        <r>
          <rPr>
            <b/>
            <sz val="9"/>
            <color indexed="81"/>
            <rFont val="Tahoma"/>
            <family val="2"/>
          </rPr>
          <t>Corentin:</t>
        </r>
        <r>
          <rPr>
            <sz val="9"/>
            <color indexed="81"/>
            <rFont val="Tahoma"/>
            <family val="2"/>
          </rPr>
          <t xml:space="preserve">
Le relevé pour l'eau est tel que la conso des 2 bâtiments est comptée ensemble
</t>
        </r>
      </text>
    </comment>
    <comment ref="R250" authorId="0" shapeId="0" xr:uid="{82FDC56A-6FD7-4A49-A2BC-0E8C04A3B174}">
      <text>
        <r>
          <rPr>
            <b/>
            <sz val="9"/>
            <color indexed="81"/>
            <rFont val="Tahoma"/>
            <family val="2"/>
          </rPr>
          <t>Thibault GABRIEL:</t>
        </r>
        <r>
          <rPr>
            <sz val="9"/>
            <color indexed="81"/>
            <rFont val="Tahoma"/>
            <family val="2"/>
          </rPr>
          <t xml:space="preserve">
Je retire Bellignat de la somme
</t>
        </r>
      </text>
    </comment>
    <comment ref="R296" authorId="0" shapeId="0" xr:uid="{1E46CDBE-0753-4C40-9B35-410EEC841FD9}">
      <text>
        <r>
          <rPr>
            <b/>
            <sz val="9"/>
            <color indexed="81"/>
            <rFont val="Tahoma"/>
            <family val="2"/>
          </rPr>
          <t>Thibault GABRIEL:</t>
        </r>
        <r>
          <rPr>
            <sz val="9"/>
            <color indexed="81"/>
            <rFont val="Tahoma"/>
            <family val="2"/>
          </rPr>
          <t xml:space="preserve">
augmente sensiblement</t>
        </r>
      </text>
    </comment>
    <comment ref="R305" authorId="0" shapeId="0" xr:uid="{BFB15B3C-4199-487B-A91F-A3AFF6D044CA}">
      <text>
        <r>
          <rPr>
            <b/>
            <sz val="9"/>
            <color indexed="81"/>
            <rFont val="Tahoma"/>
            <family val="2"/>
          </rPr>
          <t>Thibault GABRIEL:</t>
        </r>
        <r>
          <rPr>
            <sz val="9"/>
            <color indexed="81"/>
            <rFont val="Tahoma"/>
            <family val="2"/>
          </rPr>
          <t xml:space="preserve">
conso nulle
</t>
        </r>
      </text>
    </comment>
    <comment ref="R343" authorId="0" shapeId="0" xr:uid="{D518F165-89B9-434E-830D-C194615DA5D0}">
      <text>
        <r>
          <rPr>
            <b/>
            <sz val="9"/>
            <color indexed="81"/>
            <rFont val="Tahoma"/>
            <family val="2"/>
          </rPr>
          <t>Thibault GABRIEL:</t>
        </r>
        <r>
          <rPr>
            <sz val="9"/>
            <color indexed="81"/>
            <rFont val="Tahoma"/>
            <family val="2"/>
          </rPr>
          <t xml:space="preserve">
augmente sensiblement</t>
        </r>
      </text>
    </comment>
    <comment ref="R352" authorId="0" shapeId="0" xr:uid="{F6A2C44E-A253-48B3-9597-F212D843968F}">
      <text>
        <r>
          <rPr>
            <b/>
            <sz val="9"/>
            <color indexed="81"/>
            <rFont val="Tahoma"/>
            <family val="2"/>
          </rPr>
          <t>Thibault GABRIEL:</t>
        </r>
        <r>
          <rPr>
            <sz val="9"/>
            <color indexed="81"/>
            <rFont val="Tahoma"/>
            <family val="2"/>
          </rPr>
          <t xml:space="preserve">
conso nulle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  <author>Thibault GABRIEL</author>
  </authors>
  <commentList>
    <comment ref="B14" authorId="0" shapeId="0" xr:uid="{2161DBF9-8002-4835-BC36-B0F9B83C6C95}">
      <text>
        <r>
          <rPr>
            <b/>
            <sz val="9"/>
            <color rgb="FF000000"/>
            <rFont val="Tahoma"/>
            <family val="2"/>
          </rPr>
          <t>Auteur: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Une magoration de 832 kg éq CO2 est apliqué sur les produits surgelés
</t>
        </r>
      </text>
    </comment>
    <comment ref="B23" authorId="0" shapeId="0" xr:uid="{A3238317-076A-49D0-9969-A891AF7BBAEF}">
      <text>
        <r>
          <rPr>
            <b/>
            <sz val="9"/>
            <color rgb="FF000000"/>
            <rFont val="Tahoma"/>
            <family val="2"/>
          </rPr>
          <t>Auteur: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Une majoration de 469 kg éq CO2 est apliqué sur les produits en conserve</t>
        </r>
      </text>
    </comment>
    <comment ref="C44" authorId="0" shapeId="0" xr:uid="{20F63A10-6A75-47DD-98FA-CFD31999FDE3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Moyenne fromage pate dure et pate molle</t>
        </r>
      </text>
    </comment>
    <comment ref="C61" authorId="1" shapeId="0" xr:uid="{391C18B8-D67D-4395-B477-E478FA9B3A86}">
      <text>
        <r>
          <rPr>
            <b/>
            <sz val="9"/>
            <color indexed="81"/>
            <rFont val="Tahoma"/>
            <family val="2"/>
          </rPr>
          <t>Thibault GABRIEL:</t>
        </r>
        <r>
          <rPr>
            <sz val="9"/>
            <color indexed="81"/>
            <rFont val="Tahoma"/>
            <family val="2"/>
          </rPr>
          <t xml:space="preserve">
Le reste par rapport aux catégories en jaune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Thibault GABRIEL</author>
  </authors>
  <commentList>
    <comment ref="B13" authorId="0" shapeId="0" xr:uid="{B0E3672D-27AC-4120-8217-6F1E11C9138C}">
      <text>
        <r>
          <rPr>
            <b/>
            <sz val="9"/>
            <color indexed="81"/>
            <rFont val="Tahoma"/>
            <family val="2"/>
          </rPr>
          <t>Thibault GABRIEL:</t>
        </r>
        <r>
          <rPr>
            <sz val="9"/>
            <color indexed="81"/>
            <rFont val="Tahoma"/>
            <family val="2"/>
          </rPr>
          <t xml:space="preserve">
Cellule automatique à ne pas modifier: 
Sert à nommer le graphique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Anas Bouayad</author>
    <author>Thibault GABRIEL</author>
  </authors>
  <commentList>
    <comment ref="D5" authorId="0" shapeId="0" xr:uid="{4FE72E6F-2924-4973-96DC-7CC0A49CD862}">
      <text>
        <r>
          <rPr>
            <b/>
            <sz val="9"/>
            <color indexed="81"/>
            <rFont val="Tahoma"/>
            <family val="2"/>
          </rPr>
          <t>Anas Bouayad:</t>
        </r>
        <r>
          <rPr>
            <sz val="9"/>
            <color indexed="81"/>
            <rFont val="Tahoma"/>
            <family val="2"/>
          </rPr>
          <t xml:space="preserve">
Source: Tableur facteurs d'émission ADEME version 7.5</t>
        </r>
      </text>
    </comment>
    <comment ref="D10" authorId="0" shapeId="0" xr:uid="{FEEA7B85-660A-4244-A09B-329DDB79E9B4}">
      <text>
        <r>
          <rPr>
            <b/>
            <sz val="9"/>
            <color indexed="81"/>
            <rFont val="Tahoma"/>
            <family val="2"/>
          </rPr>
          <t>Anas Bouayad:</t>
        </r>
        <r>
          <rPr>
            <sz val="9"/>
            <color indexed="81"/>
            <rFont val="Tahoma"/>
            <family val="2"/>
          </rPr>
          <t xml:space="preserve">
Valeur extraite du bilan carbone (2009-2011). Aucune valeur pour ce facteur d'émission sur l'ADEME à ce jour (23/05/2020)</t>
        </r>
      </text>
    </comment>
    <comment ref="D11" authorId="1" shapeId="0" xr:uid="{6ABD9368-E47D-47E1-BDF2-7FEC91F541CB}">
      <text>
        <r>
          <rPr>
            <b/>
            <sz val="9"/>
            <color indexed="81"/>
            <rFont val="Tahoma"/>
            <family val="2"/>
          </rPr>
          <t>Thibault GABRIEL:</t>
        </r>
        <r>
          <rPr>
            <sz val="9"/>
            <color indexed="81"/>
            <rFont val="Tahoma"/>
            <family val="2"/>
          </rPr>
          <t xml:space="preserve">
moyenne DEEE divers et GEMF</t>
        </r>
      </text>
    </comment>
    <comment ref="D16" authorId="1" shapeId="0" xr:uid="{5AB030D4-2699-42E9-A1B6-6B9B027772EE}">
      <text>
        <r>
          <rPr>
            <b/>
            <sz val="9"/>
            <color indexed="81"/>
            <rFont val="Tahoma"/>
            <family val="2"/>
          </rPr>
          <t>Thibault GABRIEL:</t>
        </r>
        <r>
          <rPr>
            <sz val="9"/>
            <color indexed="81"/>
            <rFont val="Tahoma"/>
            <family val="2"/>
          </rPr>
          <t xml:space="preserve">
moyenne methanisation et compostage
</t>
        </r>
      </text>
    </comment>
    <comment ref="D18" authorId="0" shapeId="0" xr:uid="{1CC5F584-294D-4BA7-AAB3-831DD8B9F6EA}">
      <text>
        <r>
          <rPr>
            <b/>
            <sz val="9"/>
            <color indexed="81"/>
            <rFont val="Tahoma"/>
            <family val="2"/>
          </rPr>
          <t>Anas Bouayad:</t>
        </r>
        <r>
          <rPr>
            <sz val="9"/>
            <color indexed="81"/>
            <rFont val="Tahoma"/>
            <family val="2"/>
          </rPr>
          <t xml:space="preserve">
Source: Tableur facteurs d'émission ADEME version 7.5
</t>
        </r>
      </text>
    </comment>
    <comment ref="D19" authorId="0" shapeId="0" xr:uid="{02505237-7458-420E-A587-FD625E1F74D5}">
      <text>
        <r>
          <rPr>
            <b/>
            <sz val="9"/>
            <color rgb="FF000000"/>
            <rFont val="Tahoma"/>
            <family val="2"/>
          </rPr>
          <t>Anas Bouayad: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Source: Tableur facteurs d'émission ADEME version 7.5
</t>
        </r>
      </text>
    </comment>
    <comment ref="D20" authorId="1" shapeId="0" xr:uid="{900AC0B4-C505-41FE-A039-2288B1495F79}">
      <text>
        <r>
          <rPr>
            <b/>
            <sz val="9"/>
            <color indexed="81"/>
            <rFont val="Tahoma"/>
            <family val="2"/>
          </rPr>
          <t>Thibault GABRIEL:</t>
        </r>
        <r>
          <rPr>
            <sz val="9"/>
            <color indexed="81"/>
            <rFont val="Tahoma"/>
            <family val="2"/>
          </rPr>
          <t xml:space="preserve">
hyp 95% papier 5% carton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Thibault GABRIEL</author>
  </authors>
  <commentList>
    <comment ref="J19" authorId="0" shapeId="0" xr:uid="{329F8EB8-E214-440F-90BA-9DCB8E54ACE8}">
      <text>
        <r>
          <rPr>
            <b/>
            <sz val="9"/>
            <color indexed="81"/>
            <rFont val="Tahoma"/>
            <family val="2"/>
          </rPr>
          <t>Thibault GABRIEL:</t>
        </r>
        <r>
          <rPr>
            <sz val="9"/>
            <color indexed="81"/>
            <rFont val="Tahoma"/>
            <family val="2"/>
          </rPr>
          <t xml:space="preserve">
Depend largement du modele</t>
        </r>
      </text>
    </comment>
    <comment ref="J30" authorId="0" shapeId="0" xr:uid="{240ED752-6DC4-4E72-83EE-BD15E31C3002}">
      <text>
        <r>
          <rPr>
            <b/>
            <sz val="9"/>
            <color indexed="81"/>
            <rFont val="Tahoma"/>
            <family val="2"/>
          </rPr>
          <t>Thibault GABRIEL:</t>
        </r>
        <r>
          <rPr>
            <sz val="9"/>
            <color indexed="81"/>
            <rFont val="Tahoma"/>
            <family val="2"/>
          </rPr>
          <t xml:space="preserve">
Estimation, donnée non trouvée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Anas Bouayad</author>
  </authors>
  <commentList>
    <comment ref="F36" authorId="0" shapeId="0" xr:uid="{8D5A88A1-5987-4A25-B070-0D96B988CE4D}">
      <text>
        <r>
          <rPr>
            <b/>
            <sz val="9"/>
            <color indexed="81"/>
            <rFont val="Tahoma"/>
            <family val="2"/>
          </rPr>
          <t>Anas Bouayad:</t>
        </r>
        <r>
          <rPr>
            <sz val="9"/>
            <color indexed="81"/>
            <rFont val="Tahoma"/>
            <family val="2"/>
          </rPr>
          <t xml:space="preserve">
Tous voyages hors Europe</t>
        </r>
      </text>
    </comment>
    <comment ref="W36" authorId="0" shapeId="0" xr:uid="{040E70EA-8667-4C41-A6D6-43ABA16A5005}">
      <text>
        <r>
          <rPr>
            <b/>
            <sz val="9"/>
            <color indexed="81"/>
            <rFont val="Tahoma"/>
            <family val="2"/>
          </rPr>
          <t>Anas Bouayad:</t>
        </r>
        <r>
          <rPr>
            <sz val="9"/>
            <color indexed="81"/>
            <rFont val="Tahoma"/>
            <family val="2"/>
          </rPr>
          <t xml:space="preserve">
Voyages en France Métropolitaine non inclus</t>
        </r>
      </text>
    </comment>
    <comment ref="F40" authorId="0" shapeId="0" xr:uid="{547B296B-21CD-409B-93BB-F48D38BA2007}">
      <text>
        <r>
          <rPr>
            <b/>
            <sz val="9"/>
            <color rgb="FF000000"/>
            <rFont val="Tahoma"/>
            <family val="2"/>
          </rPr>
          <t>Anas Bouayad: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Voir onglet "Méthodologie de calcul" pour explications</t>
        </r>
      </text>
    </comment>
    <comment ref="F41" authorId="0" shapeId="0" xr:uid="{E833DFA6-9C27-4ADC-90A7-1E5DB7681F78}">
      <text>
        <r>
          <rPr>
            <b/>
            <sz val="9"/>
            <color rgb="FF000000"/>
            <rFont val="Tahoma"/>
            <family val="2"/>
          </rPr>
          <t>Anas Bouayad: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Totalité des émissions carbone pour les voyages aériens en 2019</t>
        </r>
      </text>
    </comment>
    <comment ref="F44" authorId="0" shapeId="0" xr:uid="{8E4E789F-556B-45B9-AC53-D7242C6EE99E}">
      <text>
        <r>
          <rPr>
            <b/>
            <sz val="9"/>
            <color indexed="81"/>
            <rFont val="Tahoma"/>
            <family val="2"/>
          </rPr>
          <t>Anas Bouayad:</t>
        </r>
        <r>
          <rPr>
            <sz val="9"/>
            <color indexed="81"/>
            <rFont val="Tahoma"/>
            <family val="2"/>
          </rPr>
          <t xml:space="preserve">
Tous voyages hors Europe</t>
        </r>
      </text>
    </comment>
    <comment ref="AB44" authorId="0" shapeId="0" xr:uid="{F46B632D-E124-4107-A098-A854AB9D9E01}">
      <text>
        <r>
          <rPr>
            <b/>
            <sz val="9"/>
            <color indexed="81"/>
            <rFont val="Tahoma"/>
            <family val="2"/>
          </rPr>
          <t>Anas Bouayad:</t>
        </r>
        <r>
          <rPr>
            <sz val="9"/>
            <color indexed="81"/>
            <rFont val="Tahoma"/>
            <family val="2"/>
          </rPr>
          <t xml:space="preserve">
Voyages en France Métropolitaine non inclus</t>
        </r>
      </text>
    </comment>
    <comment ref="F48" authorId="0" shapeId="0" xr:uid="{FACD4A2B-461B-4266-B80F-C77C6755CE65}">
      <text>
        <r>
          <rPr>
            <b/>
            <sz val="9"/>
            <color indexed="81"/>
            <rFont val="Tahoma"/>
            <family val="2"/>
          </rPr>
          <t>Anas Bouayad:</t>
        </r>
        <r>
          <rPr>
            <sz val="9"/>
            <color indexed="81"/>
            <rFont val="Tahoma"/>
            <family val="2"/>
          </rPr>
          <t xml:space="preserve">
Voir onglet "Méthodologie de calcul" pour explications</t>
        </r>
      </text>
    </comment>
    <comment ref="F49" authorId="0" shapeId="0" xr:uid="{8A3F3F92-E77A-4E22-855A-20D461F672B1}">
      <text>
        <r>
          <rPr>
            <b/>
            <sz val="9"/>
            <color rgb="FF000000"/>
            <rFont val="Tahoma"/>
            <family val="2"/>
          </rPr>
          <t>Anas Bouayad: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Totalité des émissions pour les voyages aériens en 2017</t>
        </r>
      </text>
    </comment>
    <comment ref="F52" authorId="0" shapeId="0" xr:uid="{6EB08B17-4A04-4778-BE2E-3E7B0D17DD64}">
      <text>
        <r>
          <rPr>
            <b/>
            <sz val="9"/>
            <color indexed="81"/>
            <rFont val="Tahoma"/>
            <family val="2"/>
          </rPr>
          <t>Anas Bouayad:</t>
        </r>
        <r>
          <rPr>
            <sz val="9"/>
            <color indexed="81"/>
            <rFont val="Tahoma"/>
            <family val="2"/>
          </rPr>
          <t xml:space="preserve">
Tous voyages hors Europe</t>
        </r>
      </text>
    </comment>
    <comment ref="Q52" authorId="0" shapeId="0" xr:uid="{EEA2E5F7-6C12-4ECE-BCFF-3202DC49B7E2}">
      <text>
        <r>
          <rPr>
            <b/>
            <sz val="9"/>
            <color indexed="81"/>
            <rFont val="Tahoma"/>
            <family val="2"/>
          </rPr>
          <t>Anas Bouayad:</t>
        </r>
        <r>
          <rPr>
            <sz val="9"/>
            <color indexed="81"/>
            <rFont val="Tahoma"/>
            <family val="2"/>
          </rPr>
          <t xml:space="preserve">
Voyages en France Métropolitaine non inclus.</t>
        </r>
      </text>
    </comment>
    <comment ref="F57" authorId="0" shapeId="0" xr:uid="{66221515-0306-469B-8CF1-D9EFA4B5064B}">
      <text>
        <r>
          <rPr>
            <b/>
            <sz val="9"/>
            <color rgb="FF000000"/>
            <rFont val="Tahoma"/>
            <family val="2"/>
          </rPr>
          <t>Anas Bouayad: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Somme des émissions carbone pour la totalité des voyages</t>
        </r>
      </text>
    </comment>
    <comment ref="K60" authorId="0" shapeId="0" xr:uid="{9353DFAF-9A3A-4452-8CB6-C420AEF33B87}">
      <text>
        <r>
          <rPr>
            <b/>
            <sz val="9"/>
            <color indexed="81"/>
            <rFont val="Tahoma"/>
            <family val="2"/>
          </rPr>
          <t>Anas Bouayad:</t>
        </r>
        <r>
          <rPr>
            <sz val="9"/>
            <color indexed="81"/>
            <rFont val="Tahoma"/>
            <family val="2"/>
          </rPr>
          <t xml:space="preserve">
Tous voyages hors Europe</t>
        </r>
      </text>
    </comment>
    <comment ref="M60" authorId="0" shapeId="0" xr:uid="{4F30A746-1FE4-44FE-A8F9-0A135CBAF72D}">
      <text>
        <r>
          <rPr>
            <b/>
            <sz val="9"/>
            <color indexed="81"/>
            <rFont val="Tahoma"/>
            <family val="2"/>
          </rPr>
          <t>Anas Bouayad:</t>
        </r>
        <r>
          <rPr>
            <sz val="9"/>
            <color indexed="81"/>
            <rFont val="Tahoma"/>
            <family val="2"/>
          </rPr>
          <t xml:space="preserve">
Voyages en France Métropolitaine non inclus</t>
        </r>
      </text>
    </comment>
    <comment ref="F64" authorId="0" shapeId="0" xr:uid="{FD02E6F0-6C86-4DD8-8DAB-02007A160C4D}">
      <text>
        <r>
          <rPr>
            <b/>
            <sz val="9"/>
            <color rgb="FF000000"/>
            <rFont val="Tahoma"/>
            <family val="2"/>
          </rPr>
          <t>Anas Bouayad: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Voir feuille "méthodologie calculs" pour explications</t>
        </r>
      </text>
    </comment>
    <comment ref="F65" authorId="0" shapeId="0" xr:uid="{5DFDB851-D0FF-45F9-92A1-01CCA7099521}">
      <text>
        <r>
          <rPr>
            <b/>
            <sz val="9"/>
            <color rgb="FF000000"/>
            <rFont val="Tahoma"/>
            <family val="2"/>
          </rPr>
          <t>Anas Bouayad: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Somme de toutes les émissions carbone pour la totalité des voyages parcourus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briac</author>
  </authors>
  <commentList>
    <comment ref="K16" authorId="0" shapeId="0" xr:uid="{30288886-F537-4154-A941-F3847E5FAFD4}">
      <text>
        <r>
          <rPr>
            <b/>
            <sz val="9"/>
            <color rgb="FF000000"/>
            <rFont val="Tahoma"/>
            <family val="2"/>
          </rPr>
          <t>briac: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On considère que chaque personne fait simplement un aller retour chaque jour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<sst xmlns="http://schemas.openxmlformats.org/spreadsheetml/2006/main" count="15267" uniqueCount="1131">
  <si>
    <t>DEEE</t>
  </si>
  <si>
    <t>Déchets verts</t>
  </si>
  <si>
    <t>Total</t>
  </si>
  <si>
    <t>Produits laitiers</t>
  </si>
  <si>
    <t>Fruits et légumes</t>
  </si>
  <si>
    <t>Energie</t>
  </si>
  <si>
    <t>Déplacements</t>
  </si>
  <si>
    <t>Déchets</t>
  </si>
  <si>
    <t>Secteur</t>
  </si>
  <si>
    <t>Chauffage urbain LTLD</t>
  </si>
  <si>
    <t>Electricité</t>
  </si>
  <si>
    <t>Immobilisation</t>
  </si>
  <si>
    <t>Bâtiments</t>
  </si>
  <si>
    <t>Parc informatique</t>
  </si>
  <si>
    <t>Mobilier</t>
  </si>
  <si>
    <t>Parc copieurs</t>
  </si>
  <si>
    <t>Rétroprojecteurs</t>
  </si>
  <si>
    <t>Déplacements aériens pro</t>
  </si>
  <si>
    <t>Alimentation</t>
  </si>
  <si>
    <t>DIB</t>
  </si>
  <si>
    <t>Eau</t>
  </si>
  <si>
    <t>Déplacements aériens étudiants</t>
  </si>
  <si>
    <t>Viandes</t>
  </si>
  <si>
    <t>Gaz (tous usages)</t>
  </si>
  <si>
    <t>Poissons</t>
  </si>
  <si>
    <t xml:space="preserve">Immobilisation </t>
  </si>
  <si>
    <t xml:space="preserve">Energie </t>
  </si>
  <si>
    <t>Viande</t>
  </si>
  <si>
    <t>Poisson</t>
  </si>
  <si>
    <t>Autres</t>
  </si>
  <si>
    <t>Total (CO2eq)</t>
  </si>
  <si>
    <t>Type de déchet</t>
  </si>
  <si>
    <t>Année</t>
  </si>
  <si>
    <t>Emissions carbone (TCO2eq)</t>
  </si>
  <si>
    <t>Poids (Tonnes)</t>
  </si>
  <si>
    <t>Autre</t>
  </si>
  <si>
    <t>TOTAL</t>
  </si>
  <si>
    <t>Nb de repas servis</t>
  </si>
  <si>
    <t>Tableau consommation (kWh), carbone (kgC) total INSA</t>
  </si>
  <si>
    <t>Accés aux détails de consommation &amp; émissions carbone</t>
  </si>
  <si>
    <t>Accès aux facteurs d'émissions</t>
  </si>
  <si>
    <t>Consommation INSA (MWh d'énergie primaire)</t>
  </si>
  <si>
    <t>% Chauffage urbain LTLD / INSA</t>
  </si>
  <si>
    <t>% Electricité / INSA</t>
  </si>
  <si>
    <t>Gaz</t>
  </si>
  <si>
    <t>% Gaz / INSA</t>
  </si>
  <si>
    <t>Vidéoprojecteurs</t>
  </si>
  <si>
    <t>Photocopieurs</t>
  </si>
  <si>
    <t>Facteur d'émission</t>
  </si>
  <si>
    <t>Unité</t>
  </si>
  <si>
    <t>Incertitude</t>
  </si>
  <si>
    <t>Valeur 2009</t>
  </si>
  <si>
    <t>Valeur 2010</t>
  </si>
  <si>
    <t>Valeur 2011</t>
  </si>
  <si>
    <t>Valeur 2012</t>
  </si>
  <si>
    <t>Valeur 2013</t>
  </si>
  <si>
    <t>Valeur 2014</t>
  </si>
  <si>
    <t>Valeur 2015</t>
  </si>
  <si>
    <t>Valeur 2016</t>
  </si>
  <si>
    <t>Valeur 2017</t>
  </si>
  <si>
    <t>Valeur 2018</t>
  </si>
  <si>
    <t>Valeur 2019</t>
  </si>
  <si>
    <t>Elec</t>
  </si>
  <si>
    <t>Electricité du réseau</t>
  </si>
  <si>
    <t xml:space="preserve"> kgCO2/kWh</t>
  </si>
  <si>
    <t xml:space="preserve">Eau </t>
  </si>
  <si>
    <t>Eau du réseau</t>
  </si>
  <si>
    <t>kgCO2/m3</t>
  </si>
  <si>
    <t>Campus de la Doua</t>
  </si>
  <si>
    <t>Lyon - Villeurbanne</t>
  </si>
  <si>
    <t>Bâtiment</t>
  </si>
  <si>
    <t>Numéro</t>
  </si>
  <si>
    <t>Nom</t>
  </si>
  <si>
    <t>Conso (kWh)</t>
  </si>
  <si>
    <t>Résidence</t>
  </si>
  <si>
    <t>Res A</t>
  </si>
  <si>
    <t>Res B</t>
  </si>
  <si>
    <t>Res C</t>
  </si>
  <si>
    <t>Res D</t>
  </si>
  <si>
    <t>Res E</t>
  </si>
  <si>
    <t>Res F</t>
  </si>
  <si>
    <t>204 - 212</t>
  </si>
  <si>
    <t>Res G/J</t>
  </si>
  <si>
    <t>Res H</t>
  </si>
  <si>
    <t>Res I</t>
  </si>
  <si>
    <t>Res M</t>
  </si>
  <si>
    <t>Halle Moteur</t>
  </si>
  <si>
    <t>Jacqueline Ferrand</t>
  </si>
  <si>
    <t>Sophie Germain</t>
  </si>
  <si>
    <t>Bellignat (Oyonnax)</t>
  </si>
  <si>
    <t>Ecole (amphi)</t>
  </si>
  <si>
    <t>Jean Capelle</t>
  </si>
  <si>
    <t>Marc Seguin</t>
  </si>
  <si>
    <t>André Lespinasse</t>
  </si>
  <si>
    <t>Gaston Berger</t>
  </si>
  <si>
    <t>SOUS TOTAL</t>
  </si>
  <si>
    <t>Ecole (cours)</t>
  </si>
  <si>
    <t>Louis Neel</t>
  </si>
  <si>
    <t>Jean Alembert</t>
  </si>
  <si>
    <t>Pierre Fermat</t>
  </si>
  <si>
    <t>Eugène Freyssinet</t>
  </si>
  <si>
    <t>Joseph C.A Coulomb</t>
  </si>
  <si>
    <t>Gustave Eiffel</t>
  </si>
  <si>
    <t>Antoine Saint Exupéry</t>
  </si>
  <si>
    <t>Joseph Jacquard</t>
  </si>
  <si>
    <t>Léonard de Vinci</t>
  </si>
  <si>
    <t>Jules Vernes</t>
  </si>
  <si>
    <t>Sadi Carnot</t>
  </si>
  <si>
    <t>Joseph Tuset</t>
  </si>
  <si>
    <t xml:space="preserve">Les Humanités </t>
  </si>
  <si>
    <t>Claude Chappe</t>
  </si>
  <si>
    <t>Blaise Pascal 1</t>
  </si>
  <si>
    <t>Blaise Pascal 2</t>
  </si>
  <si>
    <t>Gustave Ferrie</t>
  </si>
  <si>
    <t>Louis Pasteur</t>
  </si>
  <si>
    <t>EEDEMS</t>
  </si>
  <si>
    <t>Marco Polo</t>
  </si>
  <si>
    <t>Ecole (support)</t>
  </si>
  <si>
    <t>Bibliothèque Marie Curie</t>
  </si>
  <si>
    <t>Insa Direction</t>
  </si>
  <si>
    <t>CLUB</t>
  </si>
  <si>
    <t>Archimède</t>
  </si>
  <si>
    <t>Camille Claudel</t>
  </si>
  <si>
    <t>Gymnase IUT</t>
  </si>
  <si>
    <t>Piscine Siuaps</t>
  </si>
  <si>
    <t>Piscine INSA</t>
  </si>
  <si>
    <t>La Rotonde</t>
  </si>
  <si>
    <t>Serre</t>
  </si>
  <si>
    <t>Ecole</t>
  </si>
  <si>
    <t>Restaurant</t>
  </si>
  <si>
    <t>Galilée</t>
  </si>
  <si>
    <t xml:space="preserve">Le Theleme </t>
  </si>
  <si>
    <t>TOUS</t>
  </si>
  <si>
    <r>
      <t>Conso (m</t>
    </r>
    <r>
      <rPr>
        <vertAlign val="superscript"/>
        <sz val="11"/>
        <color indexed="8"/>
        <rFont val="Calibri"/>
        <family val="2"/>
      </rPr>
      <t>3</t>
    </r>
    <r>
      <rPr>
        <sz val="11"/>
        <color indexed="8"/>
        <rFont val="Calibri"/>
        <family val="2"/>
      </rPr>
      <t>)</t>
    </r>
  </si>
  <si>
    <t>302 - 303</t>
  </si>
  <si>
    <t>Joseph Jacquard/Antoine Saint Exupéry</t>
  </si>
  <si>
    <t>IMBL</t>
  </si>
  <si>
    <t>209 - 210</t>
  </si>
  <si>
    <t>Insa Direction/CLUB</t>
  </si>
  <si>
    <t>Villa G/J</t>
  </si>
  <si>
    <t>Ecole (Cours)</t>
  </si>
  <si>
    <t>114-113</t>
  </si>
  <si>
    <t>Jean Capelle + Jean Alembert</t>
  </si>
  <si>
    <t>106-107</t>
  </si>
  <si>
    <t>Louis Neel + Pierre Fermat</t>
  </si>
  <si>
    <t>Doc'INSA</t>
  </si>
  <si>
    <t>A</t>
  </si>
  <si>
    <t>B</t>
  </si>
  <si>
    <t>C</t>
  </si>
  <si>
    <t>D</t>
  </si>
  <si>
    <t>E</t>
  </si>
  <si>
    <t>F</t>
  </si>
  <si>
    <t>H</t>
  </si>
  <si>
    <t>I</t>
  </si>
  <si>
    <t>Historique des émissions de GES (de 2009 à 2019) en TCO2eq</t>
  </si>
  <si>
    <t>Total (TCO2eq)</t>
  </si>
  <si>
    <t>Valeur 2020</t>
  </si>
  <si>
    <t>Facteurs d'émission &amp; Explications</t>
  </si>
  <si>
    <t>Type d'équipement</t>
  </si>
  <si>
    <t>Facteur d'émission (KgCO2eq/appareil)</t>
  </si>
  <si>
    <t>Durée d'amortissement (années)</t>
  </si>
  <si>
    <t>PC avec écran plat</t>
  </si>
  <si>
    <t>PC portable</t>
  </si>
  <si>
    <t>Photocopieur</t>
  </si>
  <si>
    <t>Rétroprojecteur</t>
  </si>
  <si>
    <t>Personnel</t>
  </si>
  <si>
    <t>Etudiants</t>
  </si>
  <si>
    <t>Type d'ordinateur</t>
  </si>
  <si>
    <t xml:space="preserve">Nombre </t>
  </si>
  <si>
    <t>Emission carbone (TCO2eq)</t>
  </si>
  <si>
    <t>Département</t>
  </si>
  <si>
    <t>Nombre total de postes</t>
  </si>
  <si>
    <t>Ordinateur portable</t>
  </si>
  <si>
    <t>FIMI</t>
  </si>
  <si>
    <t>Ordinateur fixe</t>
  </si>
  <si>
    <t>GM</t>
  </si>
  <si>
    <t>GEN</t>
  </si>
  <si>
    <t>GCU</t>
  </si>
  <si>
    <t>GI</t>
  </si>
  <si>
    <t>TC</t>
  </si>
  <si>
    <t>BS</t>
  </si>
  <si>
    <t>SGM</t>
  </si>
  <si>
    <t>IF</t>
  </si>
  <si>
    <t>GE</t>
  </si>
  <si>
    <t>HUMA</t>
  </si>
  <si>
    <t>AIP</t>
  </si>
  <si>
    <t>SCD</t>
  </si>
  <si>
    <t>Emissions carbone (kgCO2eq)</t>
  </si>
  <si>
    <t>Amphi Berger</t>
  </si>
  <si>
    <t>Amphi Lespinasse</t>
  </si>
  <si>
    <t>Blaise Pascal</t>
  </si>
  <si>
    <t>BMC</t>
  </si>
  <si>
    <t>Chappe</t>
  </si>
  <si>
    <t>Charlotte Perriand (ex Coulomb)</t>
  </si>
  <si>
    <t>D'Alembert</t>
  </si>
  <si>
    <t>Direction</t>
  </si>
  <si>
    <t>Freyssinet</t>
  </si>
  <si>
    <t>Gustave Ferrié</t>
  </si>
  <si>
    <t>Humanités</t>
  </si>
  <si>
    <t>Jacquard</t>
  </si>
  <si>
    <t>Jules Verne</t>
  </si>
  <si>
    <t>Léonard de vinci</t>
  </si>
  <si>
    <t>Pierre de Fermat</t>
  </si>
  <si>
    <t>Résidence G</t>
  </si>
  <si>
    <t>SIDD</t>
  </si>
  <si>
    <t>St Exupéry</t>
  </si>
  <si>
    <t>Nombre de lits</t>
  </si>
  <si>
    <t>Nombre de chaises</t>
  </si>
  <si>
    <t>Nombre</t>
  </si>
  <si>
    <t>G</t>
  </si>
  <si>
    <t>J</t>
  </si>
  <si>
    <t>M</t>
  </si>
  <si>
    <t>Restaurants</t>
  </si>
  <si>
    <t>Bâtiments INSA</t>
  </si>
  <si>
    <t>Résidences - Villas</t>
  </si>
  <si>
    <t>Ecole hors ISO</t>
  </si>
  <si>
    <t>Ecole ISO</t>
  </si>
  <si>
    <t>LE GALILEE</t>
  </si>
  <si>
    <t>LE THELEME</t>
  </si>
  <si>
    <t>RESIDENCE A</t>
  </si>
  <si>
    <t>RESIDENCE B</t>
  </si>
  <si>
    <t>RESIDENCE C</t>
  </si>
  <si>
    <t>RESIDENCE D</t>
  </si>
  <si>
    <t>RESIDENCE E</t>
  </si>
  <si>
    <t>RESIDENCE F</t>
  </si>
  <si>
    <t>RESIDENCE G</t>
  </si>
  <si>
    <t>RESIDENCE H</t>
  </si>
  <si>
    <t>RESIDENCE I</t>
  </si>
  <si>
    <t>RESIDENCE J</t>
  </si>
  <si>
    <t>RESIDENCE MAGELLAN</t>
  </si>
  <si>
    <t>VILLA DIRECTEUR</t>
  </si>
  <si>
    <t>VILLA SOLO</t>
  </si>
  <si>
    <t xml:space="preserve">VILLA DUO </t>
  </si>
  <si>
    <t>VILLA DUO</t>
  </si>
  <si>
    <t>CLUB MECA</t>
  </si>
  <si>
    <t>PAVILLON LUMIERE</t>
  </si>
  <si>
    <t>Pierre DE FERMAT</t>
  </si>
  <si>
    <t>Louis NEEL</t>
  </si>
  <si>
    <t xml:space="preserve">Jean D'ALEMBERT </t>
  </si>
  <si>
    <t>Amphi Jean CAPELLE</t>
  </si>
  <si>
    <t>ARCHIMEDE</t>
  </si>
  <si>
    <t>Camille CLAUDEL</t>
  </si>
  <si>
    <t>LOGE ENTREE</t>
  </si>
  <si>
    <t>INSA-DIRECTION</t>
  </si>
  <si>
    <t>LE CLUB</t>
  </si>
  <si>
    <t>DOC'INSA</t>
  </si>
  <si>
    <t>MEDIATHEQUE</t>
  </si>
  <si>
    <t>Amphi Marc SEGUIN</t>
  </si>
  <si>
    <t>Joseph JACQUARD</t>
  </si>
  <si>
    <t>Antoine de ST EXUPERY</t>
  </si>
  <si>
    <t>Joseph C.A. COULOMB</t>
  </si>
  <si>
    <t>Gustave EIFFEL</t>
  </si>
  <si>
    <t>Eugène FREYSSINET</t>
  </si>
  <si>
    <t>STOCK CHIMIE</t>
  </si>
  <si>
    <t>Léonard de VINCI</t>
  </si>
  <si>
    <t>Amphi André LESPINASSE</t>
  </si>
  <si>
    <t>Joseph TUSSET</t>
  </si>
  <si>
    <t>SERRE</t>
  </si>
  <si>
    <t>Blaise PASCAL</t>
  </si>
  <si>
    <t>Amphi Gaston BERGER</t>
  </si>
  <si>
    <t>Gustave FERRIE</t>
  </si>
  <si>
    <t>LA ROTONDE</t>
  </si>
  <si>
    <t>CEREP</t>
  </si>
  <si>
    <t>Jules VERNE</t>
  </si>
  <si>
    <t>Sadi CARNOT</t>
  </si>
  <si>
    <t>Claude CHAPPE</t>
  </si>
  <si>
    <t>Louis PASTEUR (dont IMBL)</t>
  </si>
  <si>
    <t>LES HUMANITES</t>
  </si>
  <si>
    <t>Matiere</t>
  </si>
  <si>
    <t>béton</t>
  </si>
  <si>
    <t>poteau poutre façade légère</t>
  </si>
  <si>
    <t>beton</t>
  </si>
  <si>
    <t>poteau poutre et façade légère</t>
  </si>
  <si>
    <t>préfabriqué lourd</t>
  </si>
  <si>
    <t>structure poteau poutre et façade légère</t>
  </si>
  <si>
    <t>Année création</t>
  </si>
  <si>
    <t>Année renouvellement 1</t>
  </si>
  <si>
    <t>Surface  renouvelée 1</t>
  </si>
  <si>
    <t>Année renouvellement 2</t>
  </si>
  <si>
    <t>Surface renouvelée 2</t>
  </si>
  <si>
    <r>
      <t>Surface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</si>
  <si>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Poids (kg)</t>
  </si>
  <si>
    <t>Emissions carbone (kgCO2)</t>
  </si>
  <si>
    <t>Produits surgelés</t>
  </si>
  <si>
    <t>Bœuf</t>
  </si>
  <si>
    <t>Agneau</t>
  </si>
  <si>
    <t>Poulet</t>
  </si>
  <si>
    <t>Veau</t>
  </si>
  <si>
    <t>Dinde</t>
  </si>
  <si>
    <t>Porc</t>
  </si>
  <si>
    <t>Canard</t>
  </si>
  <si>
    <t>Légumes</t>
  </si>
  <si>
    <t>Conserve</t>
  </si>
  <si>
    <t>Produits frais</t>
  </si>
  <si>
    <t>Saumon</t>
  </si>
  <si>
    <t>Fruits</t>
  </si>
  <si>
    <t>Farine et féculents</t>
  </si>
  <si>
    <t>Frites fraiche</t>
  </si>
  <si>
    <t>Yaourt</t>
  </si>
  <si>
    <t>Fromage</t>
  </si>
  <si>
    <t>Pain</t>
  </si>
  <si>
    <t>Vin (litre)</t>
  </si>
  <si>
    <t>Facteurs d'émissions utilisés</t>
  </si>
  <si>
    <t>Type de valorisation</t>
  </si>
  <si>
    <t>Carton</t>
  </si>
  <si>
    <t>Recyclage</t>
  </si>
  <si>
    <t>Papier</t>
  </si>
  <si>
    <t>Fermentescible</t>
  </si>
  <si>
    <t>Compostage + méthanisation</t>
  </si>
  <si>
    <t>Incinération</t>
  </si>
  <si>
    <t>Gravat (Déchet de construction)</t>
  </si>
  <si>
    <t>Déchets recyclables restaurants</t>
  </si>
  <si>
    <t xml:space="preserve">Déchets verts brassés </t>
  </si>
  <si>
    <t>Compostage</t>
  </si>
  <si>
    <t>Tri + recyclage</t>
  </si>
  <si>
    <t>Déchets dangereux</t>
  </si>
  <si>
    <t>Stabilisation et stockage</t>
  </si>
  <si>
    <t>Origine</t>
  </si>
  <si>
    <t>Parc informatique (PI)</t>
  </si>
  <si>
    <t>Mobilier (M)</t>
  </si>
  <si>
    <t>Bâtiments (B)</t>
  </si>
  <si>
    <t>Emissions (kgCO2e)</t>
  </si>
  <si>
    <t>Distance (km)</t>
  </si>
  <si>
    <t>Nombre de sièges</t>
  </si>
  <si>
    <t>Emissions carbone (kgCO2/passager.km)</t>
  </si>
  <si>
    <t>0-1000km</t>
  </si>
  <si>
    <t>100-180</t>
  </si>
  <si>
    <t>1000-2000km</t>
  </si>
  <si>
    <t>2000-3000km</t>
  </si>
  <si>
    <t>180-250</t>
  </si>
  <si>
    <t>3000-4000km</t>
  </si>
  <si>
    <t>4000-5000km</t>
  </si>
  <si>
    <t>5000-6000km</t>
  </si>
  <si>
    <t>&gt;250</t>
  </si>
  <si>
    <t>6000-7000km</t>
  </si>
  <si>
    <t>7000-8000km</t>
  </si>
  <si>
    <t>8000-9000km</t>
  </si>
  <si>
    <t>9000-10000km</t>
  </si>
  <si>
    <t>&gt;11000km</t>
  </si>
  <si>
    <t>Type de voyage</t>
  </si>
  <si>
    <t>Destination</t>
  </si>
  <si>
    <t>Emissions (kgCO2/passager)</t>
  </si>
  <si>
    <t>Total émissions (tonnes CO2eq)</t>
  </si>
  <si>
    <t>International</t>
  </si>
  <si>
    <t>PAPEETE (PF)</t>
  </si>
  <si>
    <t>RAIATEA (PF)</t>
  </si>
  <si>
    <t>PHILADELPHIA (US)</t>
  </si>
  <si>
    <t>STATE COLLEGE (US)</t>
  </si>
  <si>
    <t>France Métropolitaine</t>
  </si>
  <si>
    <t>LYON (FR)</t>
  </si>
  <si>
    <t>LIMOGES (FR)</t>
  </si>
  <si>
    <t>NICE (FR)</t>
  </si>
  <si>
    <t>QUITO (EC)</t>
  </si>
  <si>
    <t>CUENCA (EC)</t>
  </si>
  <si>
    <t>RENNES (FR)</t>
  </si>
  <si>
    <t>PARIS (FR)</t>
  </si>
  <si>
    <t>Europe</t>
  </si>
  <si>
    <t>PALERMO (IT)</t>
  </si>
  <si>
    <t>NAPOLI (IT)</t>
  </si>
  <si>
    <t>ZURICH (CH)</t>
  </si>
  <si>
    <t>TUNIS (TN)</t>
  </si>
  <si>
    <t>DJERBA (TN)</t>
  </si>
  <si>
    <t>CURITIBA (BR)</t>
  </si>
  <si>
    <t>SAO PAULO (BR)</t>
  </si>
  <si>
    <t>MILAN (IT)</t>
  </si>
  <si>
    <t>LONDRES (GB)</t>
  </si>
  <si>
    <t>POITIERS (FR)</t>
  </si>
  <si>
    <t>TOULOUSE (FR)</t>
  </si>
  <si>
    <t>STRASBOURG (FR)</t>
  </si>
  <si>
    <t>HAMBURG (DE)</t>
  </si>
  <si>
    <t>FRANKFURT (DE)</t>
  </si>
  <si>
    <t>PITTSBURGH (US)</t>
  </si>
  <si>
    <t>BORDEAUX (FR)</t>
  </si>
  <si>
    <t>MELBOURNE (AU)</t>
  </si>
  <si>
    <t>CANBERRA (AU)</t>
  </si>
  <si>
    <t>DUBLIN (IE)</t>
  </si>
  <si>
    <t>SOUTHAMPTON (GB)</t>
  </si>
  <si>
    <t>AMSTERDAM (NL)</t>
  </si>
  <si>
    <t>STUTTGART (DE)</t>
  </si>
  <si>
    <t>BASTIA (FR)</t>
  </si>
  <si>
    <t>NANTES (FR)</t>
  </si>
  <si>
    <t>AJACCIO (FR)</t>
  </si>
  <si>
    <t>BOLOGNA (IT)</t>
  </si>
  <si>
    <t>BARCELONA (ES)</t>
  </si>
  <si>
    <t>UBERLANDIA (BR)</t>
  </si>
  <si>
    <t>CAEN (FR)</t>
  </si>
  <si>
    <t>GENEVE (CH)</t>
  </si>
  <si>
    <t>LILLE (FR)</t>
  </si>
  <si>
    <t>BIARRITZ (FR)</t>
  </si>
  <si>
    <t>BRUXELLES (BE)</t>
  </si>
  <si>
    <t>MUNICH (DE)</t>
  </si>
  <si>
    <t>VENISE (IT)</t>
  </si>
  <si>
    <t>LA ROCHELLE (FR)</t>
  </si>
  <si>
    <t>DUSSELDORF (DE)</t>
  </si>
  <si>
    <t>ST PETERSBURG (RU)</t>
  </si>
  <si>
    <t>MOSCOW (RU)</t>
  </si>
  <si>
    <t>COLOGNE (DE)</t>
  </si>
  <si>
    <t>COPENHAGEN (DK)</t>
  </si>
  <si>
    <t>PAU (FR)</t>
  </si>
  <si>
    <t>CASABLANCA (MA)</t>
  </si>
  <si>
    <t>BILBAO (ES)</t>
  </si>
  <si>
    <t>MEXICO CITY (MX)</t>
  </si>
  <si>
    <t>VILLAHERMOSA (MX)</t>
  </si>
  <si>
    <t>GRANADA (ES)</t>
  </si>
  <si>
    <t>PERPIGNAN (FR)</t>
  </si>
  <si>
    <t>RIO DE JANEIRO (BR)</t>
  </si>
  <si>
    <t>TRIESTE (IT)</t>
  </si>
  <si>
    <t>MARSEILLE (FR)</t>
  </si>
  <si>
    <t>LJUBLJANA (SI)</t>
  </si>
  <si>
    <t>ROME (IT)</t>
  </si>
  <si>
    <t>BREST (FR)</t>
  </si>
  <si>
    <t>MONTREAL (CA)</t>
  </si>
  <si>
    <t>PRAGUE (CZ)</t>
  </si>
  <si>
    <t>VALENCIA (ES)</t>
  </si>
  <si>
    <t>GRENOBLE (FR)</t>
  </si>
  <si>
    <t>GRAZ (AT)</t>
  </si>
  <si>
    <t>DRESDEN (DE)</t>
  </si>
  <si>
    <t>MADRID (ES)</t>
  </si>
  <si>
    <t>VIENNE (AT)</t>
  </si>
  <si>
    <t>BERLIN (DE)</t>
  </si>
  <si>
    <t>PISA (IT)</t>
  </si>
  <si>
    <t>ALGIERS (DZ)</t>
  </si>
  <si>
    <t>CONSTANTINE (DZ)</t>
  </si>
  <si>
    <t>LIMA (PE)</t>
  </si>
  <si>
    <t>LA PAZ (BO)</t>
  </si>
  <si>
    <t>BUDAPEST (HU)</t>
  </si>
  <si>
    <t>PORTO (PT)</t>
  </si>
  <si>
    <t>ORAN (DZ)</t>
  </si>
  <si>
    <t>KRAKOW (PL)</t>
  </si>
  <si>
    <t>SEOUL (KR)</t>
  </si>
  <si>
    <t>SENDAI (JP)</t>
  </si>
  <si>
    <t>EDINBURGH (GB)</t>
  </si>
  <si>
    <t>TIMISOARA (RO)</t>
  </si>
  <si>
    <t>SEVILLA (ES)</t>
  </si>
  <si>
    <t>GDANSK (PL)</t>
  </si>
  <si>
    <t>VARSOVIE (PL)</t>
  </si>
  <si>
    <t>LISBON (PT)</t>
  </si>
  <si>
    <t>GOTHENBURG (SE)</t>
  </si>
  <si>
    <t>MALAGA (ES)</t>
  </si>
  <si>
    <t>MONTPELLIER (FR)</t>
  </si>
  <si>
    <t>SOFIA (BG)</t>
  </si>
  <si>
    <t>FEZ (MA)</t>
  </si>
  <si>
    <t>CLUJ-NAPOCA (RO)</t>
  </si>
  <si>
    <t>CAYENNE (GF)</t>
  </si>
  <si>
    <t>POINTE-A-PITRE (GP)</t>
  </si>
  <si>
    <t>OUJDA (MA)</t>
  </si>
  <si>
    <t>RABAT (MA)</t>
  </si>
  <si>
    <t>BUCHAREST (RO)</t>
  </si>
  <si>
    <t>ATHENS (GR)</t>
  </si>
  <si>
    <t>STOCKHOLM (SE)</t>
  </si>
  <si>
    <t>MINSK (BY)</t>
  </si>
  <si>
    <t>HELSINKI-VANTAA (FI)</t>
  </si>
  <si>
    <t>MARRAKECH (MA)</t>
  </si>
  <si>
    <t>SHANGHAI (CN)</t>
  </si>
  <si>
    <t>JOAO PESSOA (BR)</t>
  </si>
  <si>
    <t>BEIJING (CN)</t>
  </si>
  <si>
    <t>ZHUHAI (CN)</t>
  </si>
  <si>
    <t>TRONDHEIM (NO)</t>
  </si>
  <si>
    <t>BASEL (CH)</t>
  </si>
  <si>
    <t>ISTANBUL (TR)</t>
  </si>
  <si>
    <t>TALLINN (EE)</t>
  </si>
  <si>
    <t>HERAKLION (GR)</t>
  </si>
  <si>
    <t>AMMAN (JO)</t>
  </si>
  <si>
    <t>TAIPEI (TW)</t>
  </si>
  <si>
    <t>SINGAPORE (SG)</t>
  </si>
  <si>
    <t>OTTAWA (CA)</t>
  </si>
  <si>
    <t>VANCOUVER (CA)</t>
  </si>
  <si>
    <t>NDJAMENA (TD)</t>
  </si>
  <si>
    <t>KUALA LUMPUR (MY)</t>
  </si>
  <si>
    <t>PERTH (AU)</t>
  </si>
  <si>
    <t>ADDIS ABABA (ET)</t>
  </si>
  <si>
    <t>BOSTON (US)</t>
  </si>
  <si>
    <t>NEW YORK (US)</t>
  </si>
  <si>
    <t>GEELONG (AU)</t>
  </si>
  <si>
    <t>TORONTO (CA)</t>
  </si>
  <si>
    <t>NEW DELHI (IN)</t>
  </si>
  <si>
    <t>WASHINGTON (US)</t>
  </si>
  <si>
    <t>CLEVELAND (US)</t>
  </si>
  <si>
    <t>WINNIPEG (CA)</t>
  </si>
  <si>
    <t>CHICAGO (US)</t>
  </si>
  <si>
    <t>MINNEAPOLIS (US)</t>
  </si>
  <si>
    <t>NEWCASTLE (GB)</t>
  </si>
  <si>
    <t>FORT DE FRANCE (MQ)</t>
  </si>
  <si>
    <t>ATLANTA (US)</t>
  </si>
  <si>
    <t>RECIFE (BR)</t>
  </si>
  <si>
    <t>CEDAR RAPIDS (US)</t>
  </si>
  <si>
    <t>ANCHORAGE (US)</t>
  </si>
  <si>
    <t>MIAMI (US)</t>
  </si>
  <si>
    <t>DZAOUDZI (YT)</t>
  </si>
  <si>
    <t>NEW ORLEANS (US)</t>
  </si>
  <si>
    <t>DENVER (US)</t>
  </si>
  <si>
    <t>XI AN (CN)</t>
  </si>
  <si>
    <t>ANTANANARIVO (MG)</t>
  </si>
  <si>
    <t>HOUSTON (US)</t>
  </si>
  <si>
    <t>CHONGQING (CN)</t>
  </si>
  <si>
    <t>SALT LAKE CITY (US)</t>
  </si>
  <si>
    <t>MEDELLÍN (CO)</t>
  </si>
  <si>
    <t>PORTLAND (US)</t>
  </si>
  <si>
    <t>SAN ANTONIO (US)</t>
  </si>
  <si>
    <t>BOGOTA (CO)</t>
  </si>
  <si>
    <t>ST DENIS DE LA REUNION (RE)</t>
  </si>
  <si>
    <t>PLAISANCE (MU)</t>
  </si>
  <si>
    <t>HANOI (VN)</t>
  </si>
  <si>
    <t>SAN FRANCISCO (US)</t>
  </si>
  <si>
    <t>SAN DIEGO (US)</t>
  </si>
  <si>
    <t>OSAKA (JP)</t>
  </si>
  <si>
    <t>TOKYO (JP)</t>
  </si>
  <si>
    <t>GUAYAQUIL (EC)</t>
  </si>
  <si>
    <t>HO CHI MINH CITY (VN)</t>
  </si>
  <si>
    <t>ADELAIDE (AU)</t>
  </si>
  <si>
    <t>SYDNEY (AU)</t>
  </si>
  <si>
    <t>AUCKLAND (NZ)</t>
  </si>
  <si>
    <t>Trajet</t>
  </si>
  <si>
    <t>Distance</t>
  </si>
  <si>
    <t>Origine billet</t>
  </si>
  <si>
    <t>Destination billet</t>
  </si>
  <si>
    <t>ABU DHABI</t>
  </si>
  <si>
    <t>LYON</t>
  </si>
  <si>
    <t>AMMAN</t>
  </si>
  <si>
    <t>PORTO</t>
  </si>
  <si>
    <t>AMSTERDAM</t>
  </si>
  <si>
    <t>MUNICH</t>
  </si>
  <si>
    <t>ATHENES</t>
  </si>
  <si>
    <t>THIRA</t>
  </si>
  <si>
    <t>BARCELONE</t>
  </si>
  <si>
    <t>GRENADE</t>
  </si>
  <si>
    <t>PARIS</t>
  </si>
  <si>
    <t>BELFAST</t>
  </si>
  <si>
    <t>BELGRADE</t>
  </si>
  <si>
    <t>BIARRITZ</t>
  </si>
  <si>
    <t>BILBAO</t>
  </si>
  <si>
    <t>BIRMINGHAM</t>
  </si>
  <si>
    <t>BOGOTA</t>
  </si>
  <si>
    <t>BORDEAUX</t>
  </si>
  <si>
    <t>CARTAGENA</t>
  </si>
  <si>
    <t>BOSTON</t>
  </si>
  <si>
    <t>BREST</t>
  </si>
  <si>
    <t>BRUXELLES</t>
  </si>
  <si>
    <t>VARSOVIE</t>
  </si>
  <si>
    <t>BUDAPEST</t>
  </si>
  <si>
    <t>CAEN</t>
  </si>
  <si>
    <t>CARACAS</t>
  </si>
  <si>
    <t>MADRID</t>
  </si>
  <si>
    <t>TURIN</t>
  </si>
  <si>
    <t>CARDIFF</t>
  </si>
  <si>
    <t>CASABLANCA</t>
  </si>
  <si>
    <t>TOULOUSE</t>
  </si>
  <si>
    <t>MARSEILLE</t>
  </si>
  <si>
    <t>DAKAR</t>
  </si>
  <si>
    <t>CATANE</t>
  </si>
  <si>
    <t>CHENGDU</t>
  </si>
  <si>
    <t>CONAKRY</t>
  </si>
  <si>
    <t>COPENHAGUE</t>
  </si>
  <si>
    <t>LONDRES</t>
  </si>
  <si>
    <t>CRACOVIE</t>
  </si>
  <si>
    <t>CURITIBA</t>
  </si>
  <si>
    <t>DUBLIN</t>
  </si>
  <si>
    <t>DUSSELDORF</t>
  </si>
  <si>
    <t>FEZ</t>
  </si>
  <si>
    <t>SAINT ETIENNE</t>
  </si>
  <si>
    <t>FLORENCE</t>
  </si>
  <si>
    <t>FORT DE FRANCE</t>
  </si>
  <si>
    <t>POINTE A PITRE</t>
  </si>
  <si>
    <t>FRANCFORT</t>
  </si>
  <si>
    <t>BOMBAY</t>
  </si>
  <si>
    <t>FUKUOKA</t>
  </si>
  <si>
    <t>TOKYO</t>
  </si>
  <si>
    <t>GENEVE</t>
  </si>
  <si>
    <t>LARNACA</t>
  </si>
  <si>
    <t>PALERME</t>
  </si>
  <si>
    <t>CLUJ</t>
  </si>
  <si>
    <t>NEW YORK</t>
  </si>
  <si>
    <t>GRAZ</t>
  </si>
  <si>
    <t>NANTES</t>
  </si>
  <si>
    <t>THESSALONIQUE</t>
  </si>
  <si>
    <t>KIEV  BORYSPIL</t>
  </si>
  <si>
    <t>SANTIAGO DE COM</t>
  </si>
  <si>
    <t>GOTEBORG</t>
  </si>
  <si>
    <t>GUIYANG</t>
  </si>
  <si>
    <t>HANOI</t>
  </si>
  <si>
    <t>SEOUL</t>
  </si>
  <si>
    <t>HANOVRE</t>
  </si>
  <si>
    <t>HARBIN</t>
  </si>
  <si>
    <t>HELSINKI</t>
  </si>
  <si>
    <t>HONG KONG</t>
  </si>
  <si>
    <t>KAOSHIUNG</t>
  </si>
  <si>
    <t>LA PAZ</t>
  </si>
  <si>
    <t>SAO PAULO</t>
  </si>
  <si>
    <t>LIMA</t>
  </si>
  <si>
    <t>LA ROCHELLE</t>
  </si>
  <si>
    <t>LILLE</t>
  </si>
  <si>
    <t>LONDON LUTON</t>
  </si>
  <si>
    <t>ROME</t>
  </si>
  <si>
    <t>PISE</t>
  </si>
  <si>
    <t>LIMOGES</t>
  </si>
  <si>
    <t>LISBONNE</t>
  </si>
  <si>
    <t>MILAN</t>
  </si>
  <si>
    <t>LORIENT</t>
  </si>
  <si>
    <t>LUXEMBOURG</t>
  </si>
  <si>
    <t>NASHVILLE</t>
  </si>
  <si>
    <t>ALGER</t>
  </si>
  <si>
    <t>ORAN</t>
  </si>
  <si>
    <t>MELBOURNE</t>
  </si>
  <si>
    <t>VIENNE</t>
  </si>
  <si>
    <t>SANTA CRUZ</t>
  </si>
  <si>
    <t>MONTREAL</t>
  </si>
  <si>
    <t>SANTIAGO DU CH.</t>
  </si>
  <si>
    <t>PEKIN</t>
  </si>
  <si>
    <t>CHONGQING</t>
  </si>
  <si>
    <t>NANJING</t>
  </si>
  <si>
    <t>SHANGAI</t>
  </si>
  <si>
    <t>DRESDE</t>
  </si>
  <si>
    <t>HAMBOURG</t>
  </si>
  <si>
    <t>BERLIN</t>
  </si>
  <si>
    <t>LEIPZIG</t>
  </si>
  <si>
    <t>DUBAI</t>
  </si>
  <si>
    <t>QUITO</t>
  </si>
  <si>
    <t>LA CORUNA</t>
  </si>
  <si>
    <t>VIGO</t>
  </si>
  <si>
    <t>SEVILLE</t>
  </si>
  <si>
    <t>NICE</t>
  </si>
  <si>
    <t>POITIERS</t>
  </si>
  <si>
    <t>STRASBOURG</t>
  </si>
  <si>
    <t>RENNES</t>
  </si>
  <si>
    <t>MANCHESTER</t>
  </si>
  <si>
    <t>EDIMBOURG</t>
  </si>
  <si>
    <t>SAMOS</t>
  </si>
  <si>
    <t>HERAKLION</t>
  </si>
  <si>
    <t>RHODES</t>
  </si>
  <si>
    <t>CAYENNE</t>
  </si>
  <si>
    <t>VENISE</t>
  </si>
  <si>
    <t>SENDAI</t>
  </si>
  <si>
    <t>RABAT</t>
  </si>
  <si>
    <t>MAURICE</t>
  </si>
  <si>
    <t>MONTEREY MEXICO</t>
  </si>
  <si>
    <t>MEXICO</t>
  </si>
  <si>
    <t>OSLO</t>
  </si>
  <si>
    <t>TRONDHEIM</t>
  </si>
  <si>
    <t>WROCLAW</t>
  </si>
  <si>
    <t>PRAGUE</t>
  </si>
  <si>
    <t>BUCAREST</t>
  </si>
  <si>
    <t>SINGAPOUR</t>
  </si>
  <si>
    <t>STOCKHOLM</t>
  </si>
  <si>
    <t>ZURICH</t>
  </si>
  <si>
    <t>NDJAMENA</t>
  </si>
  <si>
    <t>TUNIS</t>
  </si>
  <si>
    <t>WASHINGTON</t>
  </si>
  <si>
    <t>ORLANDO</t>
  </si>
  <si>
    <t>NEW ORLEANS</t>
  </si>
  <si>
    <t>PHOENIX</t>
  </si>
  <si>
    <t>SALT LAKE CITY</t>
  </si>
  <si>
    <t>LOS ANGELES</t>
  </si>
  <si>
    <t>HO CHI MINH VIL</t>
  </si>
  <si>
    <t>CONSTANTINE</t>
  </si>
  <si>
    <t>PERTH</t>
  </si>
  <si>
    <t>INNSBRUCK</t>
  </si>
  <si>
    <t>RECIFE</t>
  </si>
  <si>
    <t>SOFIA</t>
  </si>
  <si>
    <t>OUAGADOUGOU</t>
  </si>
  <si>
    <t>TORONTO</t>
  </si>
  <si>
    <t>TORONTO BILLY BISHOP CITY A/</t>
  </si>
  <si>
    <t>VANCOUVER</t>
  </si>
  <si>
    <t>XIAN</t>
  </si>
  <si>
    <t>DUBROVNIK</t>
  </si>
  <si>
    <t>STUTTGART</t>
  </si>
  <si>
    <t>NUREMBERG</t>
  </si>
  <si>
    <t>VALENCE</t>
  </si>
  <si>
    <t>MALAGA</t>
  </si>
  <si>
    <t>TALLIN</t>
  </si>
  <si>
    <t>METZ NANCY</t>
  </si>
  <si>
    <t>PAU</t>
  </si>
  <si>
    <t>GLASGOW</t>
  </si>
  <si>
    <t>GOA</t>
  </si>
  <si>
    <t>TEL AVIV</t>
  </si>
  <si>
    <t>NAPLES</t>
  </si>
  <si>
    <t>BEYROUTH</t>
  </si>
  <si>
    <t>SKOPJE</t>
  </si>
  <si>
    <t>MARRAKECH</t>
  </si>
  <si>
    <t>FUNCHAL</t>
  </si>
  <si>
    <t>SAINT DENIS</t>
  </si>
  <si>
    <t>MOSCOU</t>
  </si>
  <si>
    <t>LJUBLJANA</t>
  </si>
  <si>
    <t>TAIPEI</t>
  </si>
  <si>
    <t>STATE COLLEGE</t>
  </si>
  <si>
    <t>ALLENTOWN</t>
  </si>
  <si>
    <t>PHILADELPHIE</t>
  </si>
  <si>
    <t>CLEVELAND</t>
  </si>
  <si>
    <t>KONA</t>
  </si>
  <si>
    <t>CHICAGO</t>
  </si>
  <si>
    <t>MINNEAPOLIS</t>
  </si>
  <si>
    <t>ATLANTA</t>
  </si>
  <si>
    <t>DENVER</t>
  </si>
  <si>
    <t>LAS VEGAS</t>
  </si>
  <si>
    <t>SAN DIEGO</t>
  </si>
  <si>
    <t>ANTALYA</t>
  </si>
  <si>
    <t>BASTIA</t>
  </si>
  <si>
    <t>MERIDA</t>
  </si>
  <si>
    <t>MONTPELLIER</t>
  </si>
  <si>
    <t>PITTSBURGH</t>
  </si>
  <si>
    <t>OUJDA</t>
  </si>
  <si>
    <t>SOUTHAMPTON</t>
  </si>
  <si>
    <t>BRNO</t>
  </si>
  <si>
    <t>WEIHAI</t>
  </si>
  <si>
    <t>PERPIGNAN</t>
  </si>
  <si>
    <t>GUAYAQUIL</t>
  </si>
  <si>
    <t>RIGA</t>
  </si>
  <si>
    <t>RIO DE JANEIRO</t>
  </si>
  <si>
    <t>CONCEPCION</t>
  </si>
  <si>
    <t>UBERLANDIA</t>
  </si>
  <si>
    <t>QUEBEC</t>
  </si>
  <si>
    <t>TANGER</t>
  </si>
  <si>
    <t>Pays</t>
  </si>
  <si>
    <t>Emissions carbone (kgCO2/passager)</t>
  </si>
  <si>
    <t>Emissions totales (Tonnes CO2eq)</t>
  </si>
  <si>
    <t>USA</t>
  </si>
  <si>
    <t>GUADELOUPE</t>
  </si>
  <si>
    <t>MARTINIQUE</t>
  </si>
  <si>
    <t>EQUATEUR</t>
  </si>
  <si>
    <t>FRANCE</t>
  </si>
  <si>
    <t>ITALIE</t>
  </si>
  <si>
    <t>SUISSE</t>
  </si>
  <si>
    <t>Corse</t>
  </si>
  <si>
    <t>BRESIL</t>
  </si>
  <si>
    <t>DEUTSCHLAND</t>
  </si>
  <si>
    <t>JAPON</t>
  </si>
  <si>
    <t>AUTRICHE</t>
  </si>
  <si>
    <t>ESPAGNE</t>
  </si>
  <si>
    <t>CHINE</t>
  </si>
  <si>
    <t>BELGIQUE</t>
  </si>
  <si>
    <t>TAIWAN</t>
  </si>
  <si>
    <t>Grande Bretagne</t>
  </si>
  <si>
    <t>PAYS BAS</t>
  </si>
  <si>
    <t>SLOVENIE</t>
  </si>
  <si>
    <t>IRLANDE</t>
  </si>
  <si>
    <t>REPUBLIQUE TCHEQUE</t>
  </si>
  <si>
    <t>ALGERIE</t>
  </si>
  <si>
    <t>PEROU</t>
  </si>
  <si>
    <t>HONGRIE</t>
  </si>
  <si>
    <t>CROATIE</t>
  </si>
  <si>
    <t>FINLANDE</t>
  </si>
  <si>
    <t>SUEDE</t>
  </si>
  <si>
    <t>DANEMARK</t>
  </si>
  <si>
    <t>PORTUGAL</t>
  </si>
  <si>
    <t>MAROC</t>
  </si>
  <si>
    <t>MACEDONIA</t>
  </si>
  <si>
    <t>BULGARIE</t>
  </si>
  <si>
    <t>GRECE</t>
  </si>
  <si>
    <t>ROUMANIE</t>
  </si>
  <si>
    <t>UKRAINE</t>
  </si>
  <si>
    <t>ESTONIE</t>
  </si>
  <si>
    <t>SENEGAL</t>
  </si>
  <si>
    <t>RUSSIE</t>
  </si>
  <si>
    <t>CHYPRE</t>
  </si>
  <si>
    <t>COREE DU SUD</t>
  </si>
  <si>
    <t>LIBAN</t>
  </si>
  <si>
    <t>ISRAEL</t>
  </si>
  <si>
    <t>BURKINA FASO</t>
  </si>
  <si>
    <t>TCHAD</t>
  </si>
  <si>
    <t>JORDANIE</t>
  </si>
  <si>
    <t>CANADA</t>
  </si>
  <si>
    <t>INDE</t>
  </si>
  <si>
    <t>VENEZUELA</t>
  </si>
  <si>
    <t>GUYANE FRANCAISE</t>
  </si>
  <si>
    <t>AUSTRALIE</t>
  </si>
  <si>
    <t>COLOMBIE</t>
  </si>
  <si>
    <t>REUNION</t>
  </si>
  <si>
    <t>MEXIQUE</t>
  </si>
  <si>
    <t>Total émissions (Tonnes CO2eq)</t>
  </si>
  <si>
    <t>BOLIVIE</t>
  </si>
  <si>
    <t>CHILI</t>
  </si>
  <si>
    <t>COSTA RICA</t>
  </si>
  <si>
    <t>SAN JOSE</t>
  </si>
  <si>
    <t>EMIRATS ARABES UNIS</t>
  </si>
  <si>
    <t>KITTILA</t>
  </si>
  <si>
    <t>NORVEGE</t>
  </si>
  <si>
    <t>POLOGNE.</t>
  </si>
  <si>
    <t>SERBIE</t>
  </si>
  <si>
    <t>TUNISIE</t>
  </si>
  <si>
    <t>SAN FRANCISCO</t>
  </si>
  <si>
    <t>VIET NAM</t>
  </si>
  <si>
    <t>MONASTIR</t>
  </si>
  <si>
    <t>TURQUIE</t>
  </si>
  <si>
    <t>BAMAKO</t>
  </si>
  <si>
    <t>MALI</t>
  </si>
  <si>
    <t>FORTALEZA</t>
  </si>
  <si>
    <t>ASTANA</t>
  </si>
  <si>
    <t>HOUSTON</t>
  </si>
  <si>
    <t>WUHAN</t>
  </si>
  <si>
    <t>SEATTLE</t>
  </si>
  <si>
    <t>SYDNEY</t>
  </si>
  <si>
    <t>NOUVELLE ZELANDE</t>
  </si>
  <si>
    <t>AUCKLAND</t>
  </si>
  <si>
    <t>VIENNE -LYON</t>
  </si>
  <si>
    <t>source https://openreports.insa-lyon.fr/</t>
  </si>
  <si>
    <t>SCOL_Effectifs étudiants sur annee scolaire choisie</t>
  </si>
  <si>
    <t>Tous types de diplômes (ing, archi, masters, mastères spécialiasés, doctorats)</t>
  </si>
  <si>
    <t>Etudiants INSA</t>
  </si>
  <si>
    <t>tCO2eq</t>
  </si>
  <si>
    <t>poids</t>
  </si>
  <si>
    <t>tout mettre dans le même tableau avec source à côté des émissions</t>
  </si>
  <si>
    <t xml:space="preserve">Facteur d'émission </t>
  </si>
  <si>
    <t>Conso 
(kWh)</t>
  </si>
  <si>
    <t>Emissions 
(kgCO2)</t>
  </si>
  <si>
    <t>Données du secteur Energie</t>
  </si>
  <si>
    <t>Données du secteur de l'immobilisation</t>
  </si>
  <si>
    <t xml:space="preserve">Données du parc informatique </t>
  </si>
  <si>
    <t>Batiment</t>
  </si>
  <si>
    <t xml:space="preserve">Vidéoprojecteurs </t>
  </si>
  <si>
    <t xml:space="preserve">Données déplacements aériens du personnel </t>
  </si>
  <si>
    <t>Liste déroulante 
trajets-distance</t>
  </si>
  <si>
    <t>Facteurs d'émissions et Données du secteur Alimentaire</t>
  </si>
  <si>
    <t>Effectifs des étudiants de l'INSA</t>
  </si>
  <si>
    <t>Refroidissement des TP-Labo avec l'eau du Rhône --&gt; grosse économie d'énergie ! (sans cette méthode la consommation explose)</t>
  </si>
  <si>
    <t>Total école ISO et hors ISO</t>
  </si>
  <si>
    <t>Total des bâtiments</t>
  </si>
  <si>
    <t>Mettre dans école</t>
  </si>
  <si>
    <t>Souvent enlevé car n'appartient pas à l'école, pas possible de faire de travaux, etc.</t>
  </si>
  <si>
    <t xml:space="preserve">Afin de pouvoir comparer historiquement les émissions de GES, nous avons effectué une régle de trois avec l'effectif de l'INSA selon les années. </t>
  </si>
  <si>
    <t>Cadre de lit</t>
  </si>
  <si>
    <t>Chaise (en plastique)</t>
  </si>
  <si>
    <t>FE kgCO2/kg</t>
  </si>
  <si>
    <t>Amortissement considéré pour la construction des bâtiments</t>
  </si>
  <si>
    <t>Dernière année renouvellement</t>
  </si>
  <si>
    <t>Année considérée</t>
  </si>
  <si>
    <t xml:space="preserve">Création Bâtiment &gt; durée amortissement </t>
  </si>
  <si>
    <t>Renouvellement Bâtiments &gt; Durée Amortissement</t>
  </si>
  <si>
    <t>Part du renouvellement</t>
  </si>
  <si>
    <t>kgCO2e/m²</t>
  </si>
  <si>
    <t>Etablissement d'enseignement, structure en béton, France continentale, Base Carbone</t>
  </si>
  <si>
    <t>Ratio appliqué pour la rénovation des bâtiments</t>
  </si>
  <si>
    <t>Méthode pour prendre 
en compte la rénovation et l'amortissement des bâtiments sur 30 ans</t>
  </si>
  <si>
    <r>
      <t>CONSTRUCTION  (kg éq CO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)</t>
    </r>
  </si>
  <si>
    <r>
      <t>RENOVATION  (kg éq CO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)</t>
    </r>
  </si>
  <si>
    <r>
      <t>CONSTRUCTION + RENOVATION  (kg éq CO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)</t>
    </r>
  </si>
  <si>
    <t xml:space="preserve">FE </t>
  </si>
  <si>
    <t>Conversion temps de trajet en kilomètre parcourut</t>
  </si>
  <si>
    <t>Type de transport</t>
  </si>
  <si>
    <t>valeur</t>
  </si>
  <si>
    <t>unité</t>
  </si>
  <si>
    <t>incertitude</t>
  </si>
  <si>
    <t xml:space="preserve">hypothèse </t>
  </si>
  <si>
    <t>Temps de parcours (min)</t>
  </si>
  <si>
    <t>Kilomètre réalisé</t>
  </si>
  <si>
    <t xml:space="preserve">Hypothèse </t>
  </si>
  <si>
    <t>Métro/Tramway</t>
  </si>
  <si>
    <t>kgCO2e/passager*km</t>
  </si>
  <si>
    <t>Métro, tramway, trolleybus - 2018 - Agglomération &gt; à 250 000 habitants</t>
  </si>
  <si>
    <t>arbitraire</t>
  </si>
  <si>
    <t>Bus</t>
  </si>
  <si>
    <t>Autobus moyen sur une agglomération de plus de 250 000 habitants</t>
  </si>
  <si>
    <t>Voiture - personnelle</t>
  </si>
  <si>
    <t xml:space="preserve">Voiture moyenne - courte distance - 2018 --&gt; on fait le choix de ne pas rentrer dans la distinction entre gazole/essence/autres par soucis de simplicité </t>
  </si>
  <si>
    <t>Voiture - covoiturage</t>
  </si>
  <si>
    <t>D'après une étude du Shift Project, le potentiel du covoiturage serait une réduction de 25 à 30% des émissions de CO2. On prend donc le FE de la voiture particulière et on lui ajoute se pourcentage (le min de façon arbitraire)</t>
  </si>
  <si>
    <t>Moto</t>
  </si>
  <si>
    <t>Moto =&lt; 250 cm3 - Urbain - 2018 - France continentale GT Transport Base Carbone</t>
  </si>
  <si>
    <t>TGV - 2019</t>
  </si>
  <si>
    <t>GT Transport Base Carbone - TGV - 2019</t>
  </si>
  <si>
    <t>Vélo/marche/mode "doux"</t>
  </si>
  <si>
    <t>On ne prend pas en compte l'émission lors de la construction du vélo, pas d'analyse ACV</t>
  </si>
  <si>
    <t>Q01. A quel établissement êtes-vous rattaché(e)/inscrit(e) ?</t>
  </si>
  <si>
    <t>Q02. Vous êtes actuellement :</t>
  </si>
  <si>
    <t>Q24ModeHabExclu. Quel mode de déplacement utilisez-vous habituellement pour vos déplacements domicile-études/travail ?     </t>
  </si>
  <si>
    <t>Q26CombineHabituel[SQ001]. Si vous combinez habituellement plusieurs modes* à la suite pour vous rendre à votre lieu principal d'études/travail, précisez les quels (dans l'ordre) : [Mode 1]</t>
  </si>
  <si>
    <t>Moyen de transport utilisé pour le calucl</t>
  </si>
  <si>
    <t>type de transport</t>
  </si>
  <si>
    <t>Q27HabA. Combien de temps (en minutes) dure habituellement votre trajet (aller) domicile-études/travail (de porte à porte) ?</t>
  </si>
  <si>
    <t>Emissions de GES en kgCO2</t>
  </si>
  <si>
    <t>Institut national des sciences appliquées de Lyon (INSA)</t>
  </si>
  <si>
    <t>Etudiant(e) (y compris doctorant(e))</t>
  </si>
  <si>
    <t>Métro</t>
  </si>
  <si>
    <t>Marche à pied (exclusivement sur tout le trajet)</t>
  </si>
  <si>
    <t>Vélo personnel (y compris vélo à assistance électrique)</t>
  </si>
  <si>
    <t>Tramway</t>
  </si>
  <si>
    <t>Total des répondants</t>
  </si>
  <si>
    <t>Enseignant(e)s-chercheur(e)s</t>
  </si>
  <si>
    <t>Trottinette, roller, skateboard,...</t>
  </si>
  <si>
    <t>Vélo’v</t>
  </si>
  <si>
    <t>Marche à pied au-delà de 5 minutes</t>
  </si>
  <si>
    <t>Voiture (seul(e))</t>
  </si>
  <si>
    <t>Train (TER,TGV,...)</t>
  </si>
  <si>
    <t>Trottinette, roller, skateboard au-delà de 5 minutes</t>
  </si>
  <si>
    <t>Personnel administratif/technique  (BIATSS - Bibliothèque, Ingénieur(e), ITRF, Administratif(ve), Technicien(ne), Social, Santé )</t>
  </si>
  <si>
    <t>Covoiturage (passager(ère))</t>
  </si>
  <si>
    <t>Deux roues motorisées (moto, scooter, mobylette,…)</t>
  </si>
  <si>
    <t>Covoiturage (conducteur(trice))</t>
  </si>
  <si>
    <t>Train (TER,..)</t>
  </si>
  <si>
    <t>Personnel administratif</t>
  </si>
  <si>
    <t>Enseignants, chercheurs</t>
  </si>
  <si>
    <t xml:space="preserve">Etudiants </t>
  </si>
  <si>
    <t>Réponse au questionnaire</t>
  </si>
  <si>
    <t>Modes de transport représentés</t>
  </si>
  <si>
    <t>Les facteurs d'émissions</t>
  </si>
  <si>
    <t xml:space="preserve">Bilans </t>
  </si>
  <si>
    <t>Total des émissions en kgCO2e pour un trajet</t>
  </si>
  <si>
    <t>Emissions moyennes en kgCO2e/an*personne</t>
  </si>
  <si>
    <t>Effectif total sur le campus de l'INSA</t>
  </si>
  <si>
    <t>?</t>
  </si>
  <si>
    <t>Total des émissions en kgCO2e/an*répondant au sondage</t>
  </si>
  <si>
    <t>Total des émissions par extrapolation en TCO2e/an</t>
  </si>
  <si>
    <t>Déplacements domicile-travail (étudiant)</t>
  </si>
  <si>
    <t>Effectifs Enseignants-chercheurs</t>
  </si>
  <si>
    <t>Effectifs Personnels Techniques et administratifs</t>
  </si>
  <si>
    <t>Non dispo</t>
  </si>
  <si>
    <t>Effectif étudiants</t>
  </si>
  <si>
    <t>Effectifs étudiants</t>
  </si>
  <si>
    <t>Effectifs peronnels et enseignants</t>
  </si>
  <si>
    <t>Effecttifs enseignants et personnels</t>
  </si>
  <si>
    <t>Déplacements Domicile -travail  (personnel et enseignants)</t>
  </si>
  <si>
    <t>Données extrapolées à partir du nombre d'étudiants ou enseignants / personnel</t>
  </si>
  <si>
    <t xml:space="preserve">Tonnes CO2e par étudiant </t>
  </si>
  <si>
    <t>jours de déplacements par an</t>
  </si>
  <si>
    <t>Nombre vols</t>
  </si>
  <si>
    <t>Distance moyenne</t>
  </si>
  <si>
    <t>Emissions de CO2 par vol</t>
  </si>
  <si>
    <t>Emisssion de CO2 par Personnel</t>
  </si>
  <si>
    <t>Emissions Totales</t>
  </si>
  <si>
    <t>Nombre de vols par peronnel</t>
  </si>
  <si>
    <t>Nomre de personnels</t>
  </si>
  <si>
    <t>Tonnes CO2e</t>
  </si>
  <si>
    <t>Tonnes CO2e / étudiant</t>
  </si>
  <si>
    <t>Energie tCO2e</t>
  </si>
  <si>
    <t>Répartition Trajets</t>
  </si>
  <si>
    <t>Répartition Etudiants</t>
  </si>
  <si>
    <t xml:space="preserve">Répartition Enseignants </t>
  </si>
  <si>
    <t>Répartition Personnel administratif</t>
  </si>
  <si>
    <t>2016 -2019</t>
  </si>
  <si>
    <t>Emissions CO2</t>
  </si>
  <si>
    <t>Poids (kg) / Repas</t>
  </si>
  <si>
    <t>kCO2e / repas</t>
  </si>
  <si>
    <t>Var %</t>
  </si>
  <si>
    <t>Répartition des trajets par population et modes de transport</t>
  </si>
  <si>
    <t>Répartition Autres</t>
  </si>
  <si>
    <t>Energie en MWh / étudiant</t>
  </si>
  <si>
    <t>Rmq : Type d'inscription "PRINCIPALE" uniquement (colonne Z)</t>
  </si>
  <si>
    <t>Tableau de synthèse ETUDIANT</t>
  </si>
  <si>
    <t>Tableau de synthèse PERSONNELS</t>
  </si>
  <si>
    <t>Tableau de synthèse TOTAL</t>
  </si>
  <si>
    <t>Effectifs personnels</t>
  </si>
  <si>
    <t>Effectifs total</t>
  </si>
  <si>
    <t>Tonnes CO2e / pers</t>
  </si>
  <si>
    <t>Tonnes CO2e / usager</t>
  </si>
  <si>
    <t>Energie en MWh / pers</t>
  </si>
  <si>
    <t>Energie en MWh / usager</t>
  </si>
  <si>
    <t>Essence</t>
  </si>
  <si>
    <t>GNV</t>
  </si>
  <si>
    <t>Gazole</t>
  </si>
  <si>
    <t>204-212</t>
  </si>
  <si>
    <t>Chauffage</t>
  </si>
  <si>
    <t>année</t>
  </si>
  <si>
    <t>Consommation (MWh)</t>
  </si>
  <si>
    <t>Emission (tCO2e)</t>
  </si>
  <si>
    <t>Emission  (tCO2e)</t>
  </si>
  <si>
    <t>Incertitude Elec</t>
  </si>
  <si>
    <t>Incertitude Chauffage</t>
  </si>
  <si>
    <t>pourcentage</t>
  </si>
  <si>
    <t>Incertitude Gaz</t>
  </si>
  <si>
    <t>Incertitude Eau</t>
  </si>
  <si>
    <t>TOTAL    (elec+gaz+chauffage)</t>
  </si>
  <si>
    <t>Incertitude Emissions (tCO2e)</t>
  </si>
  <si>
    <t>Incertitude (pourcentage)</t>
  </si>
  <si>
    <t>Incertitude     (tCO2e)</t>
  </si>
  <si>
    <t>Gaz naturel PCS</t>
  </si>
  <si>
    <t xml:space="preserve">Chauffage urbain </t>
  </si>
  <si>
    <t>essence</t>
  </si>
  <si>
    <t>FIAT DOBLO GNV</t>
  </si>
  <si>
    <t>Courrier</t>
  </si>
  <si>
    <t>CTTE</t>
  </si>
  <si>
    <t>RENAULT TALISMAN</t>
  </si>
  <si>
    <t>VP</t>
  </si>
  <si>
    <t>M2</t>
  </si>
  <si>
    <t>Scooter PEUGEOT</t>
  </si>
  <si>
    <t>Gardiennage</t>
  </si>
  <si>
    <t>MTL</t>
  </si>
  <si>
    <t>Remorque ERDE</t>
  </si>
  <si>
    <t>TOYOTA AURIS</t>
  </si>
  <si>
    <t>GMPP</t>
  </si>
  <si>
    <t>M1</t>
  </si>
  <si>
    <t>EH</t>
  </si>
  <si>
    <t>RENAULT KANGOO</t>
  </si>
  <si>
    <t>Restau</t>
  </si>
  <si>
    <t>DIESEL</t>
  </si>
  <si>
    <t>FIAT SCUDO</t>
  </si>
  <si>
    <t>PEUGEOT EXPERT</t>
  </si>
  <si>
    <t>DEEP</t>
  </si>
  <si>
    <t>Diesel</t>
  </si>
  <si>
    <t>GOLFETTE EAGLE</t>
  </si>
  <si>
    <t>DSI</t>
  </si>
  <si>
    <t>QM</t>
  </si>
  <si>
    <t>ELEC</t>
  </si>
  <si>
    <t>QLOMM</t>
  </si>
  <si>
    <t>RENAULT TRAFIC Passenger</t>
  </si>
  <si>
    <t>PSIS</t>
  </si>
  <si>
    <t>VUL</t>
  </si>
  <si>
    <t>RENAULT KANGOO ZE</t>
  </si>
  <si>
    <t>RENAULT KANGOO 5P BLANC</t>
  </si>
  <si>
    <t>RENAULT KANGOO 5P ROUGE</t>
  </si>
  <si>
    <t>FORD TRANSIT</t>
  </si>
  <si>
    <t>RENAULT MEGANE</t>
  </si>
  <si>
    <t>GMPPA</t>
  </si>
  <si>
    <t>RESTAU</t>
  </si>
  <si>
    <t>PEUGEOT RIFTER</t>
  </si>
  <si>
    <t>PEUGEOT  BOXER</t>
  </si>
  <si>
    <t>DIRPAT</t>
  </si>
  <si>
    <t>IVECO DAILY</t>
  </si>
  <si>
    <t>KANGOO ZE</t>
  </si>
  <si>
    <t>NISSAN LEAF</t>
  </si>
  <si>
    <t>LIGIER PULSE 4 -1</t>
  </si>
  <si>
    <t>REMORQUE GPE ELEC</t>
  </si>
  <si>
    <t>PLATEAU</t>
  </si>
  <si>
    <t>/</t>
  </si>
  <si>
    <t>Tracteur CARRARO</t>
  </si>
  <si>
    <t>CITROEN JUMPER</t>
  </si>
  <si>
    <t xml:space="preserve">RENAULT MASTER </t>
  </si>
  <si>
    <t>PEUGEOT BIPPER</t>
  </si>
  <si>
    <t>RENAULT MAXITY</t>
  </si>
  <si>
    <t>FIAT PUNTO</t>
  </si>
  <si>
    <t>Affectation</t>
  </si>
  <si>
    <t>TYPE</t>
  </si>
  <si>
    <t>CAT</t>
  </si>
  <si>
    <t>carburant</t>
  </si>
  <si>
    <t>CO²</t>
  </si>
  <si>
    <t>Incertitude Essence</t>
  </si>
  <si>
    <t>Incertitude Gazole</t>
  </si>
  <si>
    <t>kgCO2/l</t>
  </si>
  <si>
    <t>Essence - Supercarburant sans plomb (95, 95-E10, 98)</t>
  </si>
  <si>
    <t>Gazole routier - B7</t>
  </si>
  <si>
    <t>Carburant Vehicule</t>
  </si>
  <si>
    <t>Conso</t>
  </si>
  <si>
    <t>Essence (litre)</t>
  </si>
  <si>
    <t>kgCO2/kWh PCI</t>
  </si>
  <si>
    <t>GNC, Gaz Naturel Comprimé pour véhicule routier</t>
  </si>
  <si>
    <t>Incertitude Emissions (kgCO2e)</t>
  </si>
  <si>
    <t>Gazole (litre)</t>
  </si>
  <si>
    <t>GNV (kWh)</t>
  </si>
  <si>
    <t>TOTAL (elec+eau+gaz+chauffage+carburant)</t>
  </si>
  <si>
    <t>Restituée le 15/10/2020</t>
  </si>
  <si>
    <t>Voir Nathalie GOUBET</t>
  </si>
  <si>
    <t>Restituées le 8/06/2020</t>
  </si>
  <si>
    <t>Livrées le 8/06/2020</t>
  </si>
  <si>
    <t>Achat le 29/11/2018</t>
  </si>
  <si>
    <t>Achat le 04/03/2019</t>
  </si>
  <si>
    <t>Achat le 13/05/2019</t>
  </si>
  <si>
    <t>Achat le 16/09/2019</t>
  </si>
  <si>
    <t>Achat le 11/09/2020</t>
  </si>
  <si>
    <t>Achat le 8/01/2019</t>
  </si>
  <si>
    <t>Achat le 30/10/2019</t>
  </si>
  <si>
    <t>a vendre</t>
  </si>
  <si>
    <t>FOURG</t>
  </si>
  <si>
    <t>Infos</t>
  </si>
  <si>
    <t>Date de restitution</t>
  </si>
  <si>
    <t>Date acquisition</t>
  </si>
  <si>
    <t>poids (kg)</t>
  </si>
  <si>
    <t>Somme des poids des véhicules à prendre en compte (kg)</t>
  </si>
  <si>
    <t>Facteur d'émission achat véhicule (kgCO2e/kg)</t>
  </si>
  <si>
    <t>Durée d'amortissement considérée (années)</t>
  </si>
  <si>
    <t>Modèle</t>
  </si>
  <si>
    <t>Incertitude FE</t>
  </si>
  <si>
    <t>Incertitude Emission</t>
  </si>
  <si>
    <t>indice de rigueur</t>
  </si>
  <si>
    <t>Conso DJU (kWh)</t>
  </si>
  <si>
    <t>sans unité</t>
  </si>
  <si>
    <t>Coefficient pour la conso DJU chauffage</t>
  </si>
  <si>
    <t>Véhicules</t>
  </si>
  <si>
    <t>Carburant</t>
  </si>
  <si>
    <t>Canard/canette</t>
  </si>
  <si>
    <t>FE 2020 (kgCO2e/kg)</t>
  </si>
  <si>
    <t>tout</t>
  </si>
  <si>
    <t>(tCO2)</t>
  </si>
  <si>
    <t>(t)</t>
  </si>
  <si>
    <t>Légumes Cons.</t>
  </si>
  <si>
    <t>Poisson Cons.</t>
  </si>
  <si>
    <t>Fruits Cons.</t>
  </si>
  <si>
    <t>Emissions (tCO2e)</t>
  </si>
  <si>
    <t>Conditionnement</t>
  </si>
  <si>
    <t>Aliment</t>
  </si>
  <si>
    <t>Tout conditionnement</t>
  </si>
  <si>
    <t>FE (kgCO2/kg)</t>
  </si>
  <si>
    <t>Beurre</t>
  </si>
  <si>
    <t>Œuf</t>
  </si>
  <si>
    <t>Lait</t>
  </si>
  <si>
    <t>Crème</t>
  </si>
  <si>
    <t>Repas servis</t>
  </si>
  <si>
    <t>Par repas ?</t>
  </si>
  <si>
    <t>Quantité (t ou g)</t>
  </si>
  <si>
    <t>Papiers-cartons</t>
  </si>
  <si>
    <t>Fermentescibles</t>
  </si>
  <si>
    <t>Déchets d'emballages recyclables</t>
  </si>
  <si>
    <t>papiers-cartons</t>
  </si>
  <si>
    <t>Ecrans plats (DEEE)</t>
  </si>
  <si>
    <t>Gros électroménager (DEEE)</t>
  </si>
  <si>
    <r>
      <t>Facteur d'émission (kgCO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e/t)</t>
    </r>
  </si>
  <si>
    <t>DEEE Ecran plat</t>
  </si>
  <si>
    <t>moyenne</t>
  </si>
  <si>
    <t>DEEE dont GEMF</t>
  </si>
  <si>
    <t>DEEE GEMF</t>
  </si>
  <si>
    <t>DEEE GEM HF</t>
  </si>
  <si>
    <t>Bois</t>
  </si>
  <si>
    <t>Bennes Bois</t>
  </si>
  <si>
    <t>Bennes Gravats</t>
  </si>
  <si>
    <t>Bennes férailles</t>
  </si>
  <si>
    <t>Bennes Autres</t>
  </si>
  <si>
    <t>DEEE Ecrans plats</t>
  </si>
  <si>
    <t>DEEE GEMHF</t>
  </si>
  <si>
    <t>Total année</t>
  </si>
  <si>
    <t>Métaux ferreux</t>
  </si>
  <si>
    <t>Moyenne</t>
  </si>
  <si>
    <t>s</t>
  </si>
  <si>
    <t>Bilan Carbone Année</t>
  </si>
  <si>
    <t>Déchets Chimiques</t>
  </si>
  <si>
    <t>DEEE divers</t>
  </si>
  <si>
    <t>Aériens étudiants</t>
  </si>
  <si>
    <t>Aériens pro</t>
  </si>
  <si>
    <t>Domicile-travail (étudiant)</t>
  </si>
  <si>
    <t>Domicile-travail (pro)</t>
  </si>
  <si>
    <t>Approximation stages 2018-2019</t>
  </si>
  <si>
    <t>Mobilités entrantes 2018-2019</t>
  </si>
  <si>
    <t>Mobilités sortantes 2018-2019</t>
  </si>
  <si>
    <t>Total toutes mobilités</t>
  </si>
  <si>
    <t>Résultats de l'étude sur les mobilités utilisant l'outil ClasseECO2</t>
  </si>
  <si>
    <t>Quantité (t)</t>
  </si>
  <si>
    <t>% quantité</t>
  </si>
  <si>
    <t>% emissions</t>
  </si>
  <si>
    <t>Consommation (x1000 m3)</t>
  </si>
  <si>
    <t>Consommation sous total (MWh)</t>
  </si>
  <si>
    <t>Emissions sous total (tCO2e)</t>
  </si>
  <si>
    <t>Emissions total énergie (tCO2e)</t>
  </si>
  <si>
    <t>Incertitude Emissions (tCO2)</t>
  </si>
  <si>
    <t>Quantités (tonnes)</t>
  </si>
  <si>
    <t>Emissions (tonnes CO2e)</t>
  </si>
  <si>
    <t>Tableau des émissions transposé pour référence dans feuille Resultats&amp;Analyse. NE PAS SUPPRIMER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</si>
</sst>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0.0"/>
    <numFmt numFmtId="167" formatCode="0.000"/>
    <numFmt numFmtId="168" formatCode="#,##0.0"/>
    <numFmt numFmtId="169" formatCode="_-* #,##0_-;\-* #,##0_-;_-* &quot;-&quot;??_-;_-@_-"/>
    <numFmt numFmtId="170" formatCode="#,##0.000"/>
    <numFmt numFmtId="171" formatCode="yyyy"/>
  </numFmts>
  <fonts count="9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4"/>
      <name val="Calibri"/>
      <family val="2"/>
      <scheme val="minor"/>
    </font>
    <font>
      <sz val="11"/>
      <color rgb="FF9C0006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2"/>
      <name val="Arial"/>
      <family val="2"/>
    </font>
    <font>
      <vertAlign val="superscript"/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name val="Geneva"/>
      <family val="2"/>
    </font>
    <font>
      <b/>
      <sz val="11"/>
      <color theme="4"/>
      <name val="Calibri"/>
      <family val="2"/>
      <scheme val="minor"/>
    </font>
    <font>
      <b/>
      <sz val="11"/>
      <color theme="9"/>
      <name val="Calibri"/>
      <family val="2"/>
      <scheme val="minor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sz val="10"/>
      <color indexed="23"/>
      <name val="Arial"/>
      <family val="2"/>
    </font>
    <font>
      <b/>
      <sz val="8"/>
      <name val="Arial"/>
      <family val="2"/>
    </font>
    <font>
      <vertAlign val="subscript"/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b/>
      <sz val="14"/>
      <color theme="9"/>
      <name val="Calibri"/>
      <family val="2"/>
      <scheme val="minor"/>
    </font>
    <font>
      <sz val="14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0"/>
      <color theme="5" tint="-0.249977111117893"/>
      <name val="Arial"/>
      <family val="2"/>
    </font>
    <font>
      <sz val="10"/>
      <color theme="0" tint="-0.14999847407452621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0"/>
      <color theme="0"/>
      <name val="Arial"/>
      <family val="2"/>
      <charset val="1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Arial"/>
      <family val="2"/>
    </font>
    <font>
      <sz val="10"/>
      <color theme="1"/>
      <name val="Arial"/>
      <family val="2"/>
      <charset val="1"/>
    </font>
    <font>
      <sz val="16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rgb="FFFFFCF3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rgb="FFC2BDAE"/>
        <bgColor indexed="64"/>
      </patternFill>
    </fill>
    <fill>
      <patternFill patternType="solid">
        <fgColor rgb="FFE0DDD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DDAAF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7" tint="0.59996337778862885"/>
      </top>
      <bottom/>
      <diagonal/>
    </border>
    <border>
      <left/>
      <right/>
      <top style="thick">
        <color theme="7" tint="0.59996337778862885"/>
      </top>
      <bottom/>
      <diagonal/>
    </border>
    <border>
      <left/>
      <right/>
      <top/>
      <bottom style="medium">
        <color theme="7" tint="0.59996337778862885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7" tint="0.59999389629810485"/>
      </bottom>
      <diagonal/>
    </border>
    <border>
      <left/>
      <right/>
      <top style="thick">
        <color theme="7" tint="0.59999389629810485"/>
      </top>
      <bottom/>
      <diagonal/>
    </border>
  </borders>
  <cellStyleXfs count="18">
    <xf numFmtId="0" fontId="0" fillId="0" borderId="0"/>
    <xf numFmtId="9" fontId="7" fillId="0" borderId="0" applyFont="0" applyFill="0" applyBorder="0" applyAlignment="0" applyProtection="0"/>
    <xf numFmtId="0" fontId="22" fillId="0" borderId="0"/>
    <xf numFmtId="0" fontId="24" fillId="0" borderId="0"/>
    <xf numFmtId="0" fontId="26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29" fillId="19" borderId="0" applyNumberFormat="0" applyBorder="0" applyAlignment="0" applyProtection="0"/>
    <xf numFmtId="0" fontId="7" fillId="0" borderId="0"/>
    <xf numFmtId="0" fontId="49" fillId="0" borderId="0"/>
    <xf numFmtId="0" fontId="49" fillId="0" borderId="0"/>
    <xf numFmtId="0" fontId="24" fillId="0" borderId="0"/>
    <xf numFmtId="0" fontId="69" fillId="0" borderId="0"/>
    <xf numFmtId="9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87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760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8" fillId="0" borderId="0" xfId="0" applyFont="1"/>
    <xf numFmtId="3" fontId="13" fillId="0" borderId="0" xfId="0" applyNumberFormat="1" applyFont="1"/>
    <xf numFmtId="3" fontId="3" fillId="0" borderId="0" xfId="0" applyNumberFormat="1" applyFont="1"/>
    <xf numFmtId="0" fontId="14" fillId="0" borderId="0" xfId="0" applyFont="1"/>
    <xf numFmtId="0" fontId="14" fillId="7" borderId="0" xfId="0" applyFont="1" applyFill="1"/>
    <xf numFmtId="0" fontId="15" fillId="0" borderId="0" xfId="0" applyFont="1"/>
    <xf numFmtId="0" fontId="0" fillId="3" borderId="0" xfId="0" applyFill="1"/>
    <xf numFmtId="0" fontId="8" fillId="3" borderId="0" xfId="0" applyFont="1" applyFill="1"/>
    <xf numFmtId="1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14" fillId="7" borderId="5" xfId="0" applyFont="1" applyFill="1" applyBorder="1"/>
    <xf numFmtId="0" fontId="8" fillId="7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Fill="1" applyBorder="1" applyAlignment="1">
      <alignment horizontal="right" vertical="center"/>
    </xf>
    <xf numFmtId="9" fontId="16" fillId="0" borderId="0" xfId="0" applyNumberFormat="1" applyFont="1"/>
    <xf numFmtId="0" fontId="14" fillId="0" borderId="5" xfId="0" applyFont="1" applyBorder="1"/>
    <xf numFmtId="166" fontId="0" fillId="0" borderId="0" xfId="0" applyNumberFormat="1" applyFill="1" applyBorder="1" applyAlignment="1">
      <alignment horizontal="center" vertical="center"/>
    </xf>
    <xf numFmtId="0" fontId="3" fillId="0" borderId="5" xfId="0" applyFont="1" applyBorder="1"/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9" fontId="17" fillId="0" borderId="0" xfId="0" applyNumberFormat="1" applyFont="1"/>
    <xf numFmtId="0" fontId="11" fillId="8" borderId="0" xfId="0" applyFont="1" applyFill="1"/>
    <xf numFmtId="0" fontId="12" fillId="8" borderId="0" xfId="0" applyFont="1" applyFill="1"/>
    <xf numFmtId="0" fontId="10" fillId="8" borderId="0" xfId="0" applyFont="1" applyFill="1"/>
    <xf numFmtId="9" fontId="18" fillId="0" borderId="0" xfId="0" applyNumberFormat="1" applyFont="1"/>
    <xf numFmtId="166" fontId="19" fillId="0" borderId="6" xfId="0" applyNumberFormat="1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3" fontId="0" fillId="4" borderId="1" xfId="0" applyNumberFormat="1" applyFill="1" applyBorder="1" applyAlignment="1">
      <alignment horizontal="center" vertical="center"/>
    </xf>
    <xf numFmtId="0" fontId="24" fillId="0" borderId="0" xfId="3"/>
    <xf numFmtId="0" fontId="25" fillId="0" borderId="0" xfId="3" applyFont="1" applyAlignment="1">
      <alignment vertical="center"/>
    </xf>
    <xf numFmtId="0" fontId="26" fillId="0" borderId="0" xfId="4" applyAlignment="1" applyProtection="1"/>
    <xf numFmtId="3" fontId="24" fillId="0" borderId="0" xfId="3" applyNumberFormat="1"/>
    <xf numFmtId="0" fontId="5" fillId="8" borderId="0" xfId="0" applyFont="1" applyFill="1" applyAlignment="1">
      <alignment vertical="center"/>
    </xf>
    <xf numFmtId="0" fontId="28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1" fillId="0" borderId="0" xfId="0" applyFont="1"/>
    <xf numFmtId="0" fontId="24" fillId="0" borderId="0" xfId="3" applyAlignment="1">
      <alignment horizontal="center"/>
    </xf>
    <xf numFmtId="0" fontId="23" fillId="0" borderId="0" xfId="3" applyFont="1" applyAlignment="1">
      <alignment horizontal="center" vertical="center"/>
    </xf>
    <xf numFmtId="0" fontId="8" fillId="0" borderId="0" xfId="3" applyFont="1"/>
    <xf numFmtId="0" fontId="29" fillId="19" borderId="0" xfId="6"/>
    <xf numFmtId="168" fontId="24" fillId="0" borderId="0" xfId="3" applyNumberFormat="1" applyAlignment="1">
      <alignment horizontal="center" vertical="center"/>
    </xf>
    <xf numFmtId="0" fontId="0" fillId="0" borderId="12" xfId="0" applyBorder="1"/>
    <xf numFmtId="0" fontId="0" fillId="11" borderId="0" xfId="0" applyFill="1" applyAlignment="1">
      <alignment horizontal="right" vertical="center"/>
    </xf>
    <xf numFmtId="1" fontId="0" fillId="11" borderId="0" xfId="0" applyNumberFormat="1" applyFont="1" applyFill="1" applyBorder="1" applyAlignment="1">
      <alignment horizontal="center" vertical="center"/>
    </xf>
    <xf numFmtId="0" fontId="0" fillId="16" borderId="0" xfId="0" applyFill="1" applyBorder="1" applyAlignment="1">
      <alignment horizontal="right" vertical="center"/>
    </xf>
    <xf numFmtId="1" fontId="0" fillId="16" borderId="0" xfId="0" applyNumberFormat="1" applyFont="1" applyFill="1" applyBorder="1" applyAlignment="1">
      <alignment horizontal="center" vertical="center"/>
    </xf>
    <xf numFmtId="0" fontId="0" fillId="16" borderId="7" xfId="0" applyFill="1" applyBorder="1" applyAlignment="1">
      <alignment horizontal="right" vertical="center"/>
    </xf>
    <xf numFmtId="0" fontId="0" fillId="10" borderId="0" xfId="0" applyFill="1" applyBorder="1" applyAlignment="1">
      <alignment horizontal="right" vertical="center"/>
    </xf>
    <xf numFmtId="0" fontId="8" fillId="21" borderId="0" xfId="0" applyFont="1" applyFill="1" applyBorder="1" applyAlignment="1">
      <alignment horizontal="right"/>
    </xf>
    <xf numFmtId="1" fontId="0" fillId="21" borderId="0" xfId="0" applyNumberFormat="1" applyFont="1" applyFill="1" applyBorder="1" applyAlignment="1">
      <alignment horizontal="center" vertical="center"/>
    </xf>
    <xf numFmtId="0" fontId="8" fillId="21" borderId="7" xfId="0" applyFont="1" applyFill="1" applyBorder="1" applyAlignment="1">
      <alignment horizontal="right"/>
    </xf>
    <xf numFmtId="0" fontId="0" fillId="15" borderId="0" xfId="0" applyFill="1" applyBorder="1" applyAlignment="1">
      <alignment horizontal="right" vertical="center"/>
    </xf>
    <xf numFmtId="1" fontId="0" fillId="15" borderId="0" xfId="0" applyNumberFormat="1" applyFont="1" applyFill="1" applyBorder="1" applyAlignment="1">
      <alignment horizontal="center" vertical="center"/>
    </xf>
    <xf numFmtId="0" fontId="37" fillId="11" borderId="6" xfId="0" applyFont="1" applyFill="1" applyBorder="1"/>
    <xf numFmtId="1" fontId="37" fillId="11" borderId="6" xfId="0" applyNumberFormat="1" applyFont="1" applyFill="1" applyBorder="1" applyAlignment="1">
      <alignment horizontal="center" vertical="center"/>
    </xf>
    <xf numFmtId="0" fontId="18" fillId="16" borderId="5" xfId="0" applyFont="1" applyFill="1" applyBorder="1"/>
    <xf numFmtId="1" fontId="18" fillId="16" borderId="5" xfId="0" applyNumberFormat="1" applyFont="1" applyFill="1" applyBorder="1" applyAlignment="1">
      <alignment horizontal="center" vertical="center"/>
    </xf>
    <xf numFmtId="0" fontId="17" fillId="10" borderId="0" xfId="0" applyFont="1" applyFill="1" applyBorder="1"/>
    <xf numFmtId="0" fontId="31" fillId="21" borderId="5" xfId="0" applyFont="1" applyFill="1" applyBorder="1"/>
    <xf numFmtId="1" fontId="31" fillId="21" borderId="5" xfId="0" applyNumberFormat="1" applyFont="1" applyFill="1" applyBorder="1" applyAlignment="1">
      <alignment horizontal="center" vertical="center"/>
    </xf>
    <xf numFmtId="0" fontId="38" fillId="15" borderId="5" xfId="0" applyFont="1" applyFill="1" applyBorder="1"/>
    <xf numFmtId="1" fontId="38" fillId="15" borderId="5" xfId="0" applyNumberFormat="1" applyFont="1" applyFill="1" applyBorder="1" applyAlignment="1">
      <alignment horizontal="center" vertical="center"/>
    </xf>
    <xf numFmtId="3" fontId="24" fillId="0" borderId="0" xfId="3" applyNumberFormat="1" applyAlignment="1">
      <alignment horizontal="center"/>
    </xf>
    <xf numFmtId="3" fontId="24" fillId="0" borderId="1" xfId="3" applyNumberFormat="1" applyBorder="1" applyAlignment="1">
      <alignment horizontal="center"/>
    </xf>
    <xf numFmtId="3" fontId="40" fillId="0" borderId="0" xfId="3" applyNumberFormat="1" applyFont="1" applyAlignment="1">
      <alignment horizontal="center"/>
    </xf>
    <xf numFmtId="3" fontId="24" fillId="0" borderId="0" xfId="3" applyNumberFormat="1" applyAlignment="1">
      <alignment horizontal="center" vertical="center"/>
    </xf>
    <xf numFmtId="3" fontId="45" fillId="0" borderId="0" xfId="3" applyNumberFormat="1" applyFont="1" applyAlignment="1">
      <alignment horizontal="center"/>
    </xf>
    <xf numFmtId="3" fontId="45" fillId="0" borderId="0" xfId="3" applyNumberFormat="1" applyFont="1" applyAlignment="1">
      <alignment horizontal="center" vertical="center"/>
    </xf>
    <xf numFmtId="3" fontId="23" fillId="0" borderId="0" xfId="3" applyNumberFormat="1" applyFont="1" applyAlignment="1">
      <alignment horizontal="center"/>
    </xf>
    <xf numFmtId="3" fontId="41" fillId="0" borderId="0" xfId="3" applyNumberFormat="1" applyFont="1" applyAlignment="1">
      <alignment horizontal="center" vertical="center" wrapText="1"/>
    </xf>
    <xf numFmtId="1" fontId="0" fillId="23" borderId="0" xfId="0" applyNumberFormat="1" applyFont="1" applyFill="1" applyBorder="1" applyAlignment="1">
      <alignment horizontal="center" vertical="center"/>
    </xf>
    <xf numFmtId="1" fontId="0" fillId="23" borderId="7" xfId="0" applyNumberFormat="1" applyFont="1" applyFill="1" applyBorder="1" applyAlignment="1">
      <alignment horizontal="center" vertical="center"/>
    </xf>
    <xf numFmtId="0" fontId="0" fillId="0" borderId="15" xfId="0" applyBorder="1"/>
    <xf numFmtId="0" fontId="3" fillId="2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24" borderId="0" xfId="0" applyNumberFormat="1" applyFont="1" applyFill="1" applyBorder="1" applyAlignment="1">
      <alignment horizontal="center" vertical="center"/>
    </xf>
    <xf numFmtId="1" fontId="0" fillId="25" borderId="0" xfId="0" applyNumberFormat="1" applyFont="1" applyFill="1" applyBorder="1" applyAlignment="1">
      <alignment horizontal="center" vertical="center"/>
    </xf>
    <xf numFmtId="1" fontId="31" fillId="24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 vertical="center" wrapText="1"/>
    </xf>
    <xf numFmtId="0" fontId="49" fillId="0" borderId="0" xfId="8"/>
    <xf numFmtId="0" fontId="49" fillId="0" borderId="0" xfId="9"/>
    <xf numFmtId="0" fontId="49" fillId="0" borderId="0" xfId="9" applyAlignment="1">
      <alignment horizontal="center" vertical="center"/>
    </xf>
    <xf numFmtId="0" fontId="49" fillId="0" borderId="3" xfId="9" applyBorder="1" applyAlignment="1">
      <alignment horizontal="center" vertical="center"/>
    </xf>
    <xf numFmtId="0" fontId="14" fillId="25" borderId="18" xfId="0" applyFont="1" applyFill="1" applyBorder="1"/>
    <xf numFmtId="0" fontId="14" fillId="24" borderId="19" xfId="0" applyFont="1" applyFill="1" applyBorder="1"/>
    <xf numFmtId="0" fontId="14" fillId="23" borderId="20" xfId="0" applyFont="1" applyFill="1" applyBorder="1"/>
    <xf numFmtId="0" fontId="55" fillId="10" borderId="0" xfId="3" applyFont="1" applyFill="1"/>
    <xf numFmtId="0" fontId="56" fillId="10" borderId="11" xfId="3" applyFont="1" applyFill="1" applyBorder="1" applyAlignment="1">
      <alignment horizontal="center" vertical="center" wrapText="1"/>
    </xf>
    <xf numFmtId="0" fontId="56" fillId="10" borderId="1" xfId="3" applyFont="1" applyFill="1" applyBorder="1" applyAlignment="1">
      <alignment horizontal="center" vertical="center"/>
    </xf>
    <xf numFmtId="3" fontId="55" fillId="10" borderId="1" xfId="3" applyNumberFormat="1" applyFont="1" applyFill="1" applyBorder="1" applyAlignment="1">
      <alignment horizontal="center" vertical="center"/>
    </xf>
    <xf numFmtId="165" fontId="55" fillId="10" borderId="1" xfId="3" applyNumberFormat="1" applyFont="1" applyFill="1" applyBorder="1" applyAlignment="1">
      <alignment horizontal="center" vertical="center"/>
    </xf>
    <xf numFmtId="0" fontId="53" fillId="0" borderId="0" xfId="3" applyFont="1"/>
    <xf numFmtId="0" fontId="54" fillId="0" borderId="0" xfId="0" applyFont="1"/>
    <xf numFmtId="0" fontId="8" fillId="15" borderId="0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16" borderId="0" xfId="0" applyFill="1" applyAlignment="1">
      <alignment horizontal="center"/>
    </xf>
    <xf numFmtId="0" fontId="0" fillId="16" borderId="0" xfId="0" applyFont="1" applyFill="1" applyAlignment="1">
      <alignment horizontal="center"/>
    </xf>
    <xf numFmtId="0" fontId="57" fillId="8" borderId="0" xfId="0" applyFont="1" applyFill="1" applyAlignment="1">
      <alignment vertical="center"/>
    </xf>
    <xf numFmtId="0" fontId="58" fillId="8" borderId="0" xfId="0" applyFont="1" applyFill="1" applyAlignment="1">
      <alignment vertical="center"/>
    </xf>
    <xf numFmtId="0" fontId="59" fillId="0" borderId="0" xfId="0" applyFont="1"/>
    <xf numFmtId="0" fontId="60" fillId="0" borderId="0" xfId="0" applyFont="1"/>
    <xf numFmtId="0" fontId="61" fillId="0" borderId="0" xfId="3" applyFont="1"/>
    <xf numFmtId="0" fontId="61" fillId="0" borderId="0" xfId="3" applyFont="1" applyAlignment="1">
      <alignment horizontal="left"/>
    </xf>
    <xf numFmtId="3" fontId="61" fillId="0" borderId="0" xfId="3" applyNumberFormat="1" applyFont="1" applyAlignment="1">
      <alignment horizontal="center"/>
    </xf>
    <xf numFmtId="3" fontId="24" fillId="17" borderId="1" xfId="3" applyNumberFormat="1" applyFill="1" applyBorder="1" applyAlignment="1">
      <alignment horizontal="center" vertical="center"/>
    </xf>
    <xf numFmtId="0" fontId="7" fillId="10" borderId="1" xfId="3" applyFont="1" applyFill="1" applyBorder="1" applyAlignment="1">
      <alignment horizontal="center" vertical="center"/>
    </xf>
    <xf numFmtId="3" fontId="7" fillId="10" borderId="1" xfId="3" applyNumberFormat="1" applyFont="1" applyFill="1" applyBorder="1" applyAlignment="1">
      <alignment horizontal="center"/>
    </xf>
    <xf numFmtId="3" fontId="54" fillId="10" borderId="1" xfId="3" applyNumberFormat="1" applyFont="1" applyFill="1" applyBorder="1" applyAlignment="1">
      <alignment horizontal="center"/>
    </xf>
    <xf numFmtId="0" fontId="8" fillId="10" borderId="1" xfId="3" applyFont="1" applyFill="1" applyBorder="1" applyAlignment="1">
      <alignment horizontal="center"/>
    </xf>
    <xf numFmtId="3" fontId="8" fillId="10" borderId="1" xfId="3" applyNumberFormat="1" applyFont="1" applyFill="1" applyBorder="1" applyAlignment="1">
      <alignment horizontal="center"/>
    </xf>
    <xf numFmtId="0" fontId="7" fillId="10" borderId="1" xfId="3" applyFont="1" applyFill="1" applyBorder="1" applyAlignment="1">
      <alignment horizontal="center" wrapText="1"/>
    </xf>
    <xf numFmtId="3" fontId="7" fillId="10" borderId="1" xfId="3" applyNumberFormat="1" applyFont="1" applyFill="1" applyBorder="1" applyAlignment="1">
      <alignment horizontal="center" wrapText="1"/>
    </xf>
    <xf numFmtId="3" fontId="8" fillId="10" borderId="1" xfId="3" applyNumberFormat="1" applyFont="1" applyFill="1" applyBorder="1" applyAlignment="1">
      <alignment horizontal="center" vertical="center" wrapText="1"/>
    </xf>
    <xf numFmtId="1" fontId="7" fillId="10" borderId="1" xfId="3" applyNumberFormat="1" applyFont="1" applyFill="1" applyBorder="1" applyAlignment="1">
      <alignment horizontal="center" wrapText="1"/>
    </xf>
    <xf numFmtId="0" fontId="7" fillId="10" borderId="22" xfId="3" applyFont="1" applyFill="1" applyBorder="1" applyAlignment="1">
      <alignment horizontal="center" vertical="center"/>
    </xf>
    <xf numFmtId="3" fontId="7" fillId="10" borderId="22" xfId="3" applyNumberFormat="1" applyFont="1" applyFill="1" applyBorder="1" applyAlignment="1">
      <alignment horizontal="center"/>
    </xf>
    <xf numFmtId="3" fontId="8" fillId="10" borderId="22" xfId="3" applyNumberFormat="1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wrapText="1"/>
    </xf>
    <xf numFmtId="3" fontId="3" fillId="5" borderId="1" xfId="3" applyNumberFormat="1" applyFont="1" applyFill="1" applyBorder="1" applyAlignment="1">
      <alignment horizontal="center" wrapText="1"/>
    </xf>
    <xf numFmtId="0" fontId="3" fillId="5" borderId="24" xfId="3" applyFont="1" applyFill="1" applyBorder="1" applyAlignment="1">
      <alignment horizontal="center" wrapText="1"/>
    </xf>
    <xf numFmtId="0" fontId="7" fillId="17" borderId="1" xfId="3" applyFont="1" applyFill="1" applyBorder="1" applyAlignment="1">
      <alignment horizontal="center" vertical="center"/>
    </xf>
    <xf numFmtId="0" fontId="7" fillId="17" borderId="1" xfId="3" applyFont="1" applyFill="1" applyBorder="1" applyAlignment="1">
      <alignment horizontal="center" wrapText="1"/>
    </xf>
    <xf numFmtId="3" fontId="7" fillId="17" borderId="1" xfId="3" applyNumberFormat="1" applyFont="1" applyFill="1" applyBorder="1" applyAlignment="1">
      <alignment horizontal="center" wrapText="1"/>
    </xf>
    <xf numFmtId="3" fontId="7" fillId="17" borderId="1" xfId="3" applyNumberFormat="1" applyFont="1" applyFill="1" applyBorder="1" applyAlignment="1">
      <alignment horizontal="center"/>
    </xf>
    <xf numFmtId="1" fontId="7" fillId="17" borderId="1" xfId="3" applyNumberFormat="1" applyFont="1" applyFill="1" applyBorder="1" applyAlignment="1">
      <alignment horizontal="center" wrapText="1"/>
    </xf>
    <xf numFmtId="0" fontId="8" fillId="7" borderId="1" xfId="3" applyFont="1" applyFill="1" applyBorder="1" applyAlignment="1">
      <alignment horizontal="center"/>
    </xf>
    <xf numFmtId="3" fontId="8" fillId="7" borderId="1" xfId="3" applyNumberFormat="1" applyFont="1" applyFill="1" applyBorder="1" applyAlignment="1">
      <alignment horizontal="center"/>
    </xf>
    <xf numFmtId="0" fontId="7" fillId="7" borderId="1" xfId="3" applyFont="1" applyFill="1" applyBorder="1" applyAlignment="1">
      <alignment horizontal="center" wrapText="1"/>
    </xf>
    <xf numFmtId="3" fontId="7" fillId="7" borderId="1" xfId="3" applyNumberFormat="1" applyFont="1" applyFill="1" applyBorder="1" applyAlignment="1">
      <alignment horizontal="center" wrapText="1"/>
    </xf>
    <xf numFmtId="3" fontId="54" fillId="7" borderId="1" xfId="3" applyNumberFormat="1" applyFont="1" applyFill="1" applyBorder="1" applyAlignment="1">
      <alignment horizontal="center" wrapText="1"/>
    </xf>
    <xf numFmtId="0" fontId="7" fillId="7" borderId="1" xfId="3" applyFont="1" applyFill="1" applyBorder="1" applyAlignment="1">
      <alignment horizontal="center"/>
    </xf>
    <xf numFmtId="3" fontId="7" fillId="7" borderId="1" xfId="3" applyNumberFormat="1" applyFont="1" applyFill="1" applyBorder="1" applyAlignment="1">
      <alignment horizontal="center"/>
    </xf>
    <xf numFmtId="0" fontId="35" fillId="7" borderId="1" xfId="3" applyFont="1" applyFill="1" applyBorder="1" applyAlignment="1">
      <alignment horizontal="center" wrapText="1"/>
    </xf>
    <xf numFmtId="3" fontId="63" fillId="17" borderId="1" xfId="3" applyNumberFormat="1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4" fillId="0" borderId="0" xfId="3" applyFont="1"/>
    <xf numFmtId="3" fontId="24" fillId="2" borderId="1" xfId="3" applyNumberFormat="1" applyFill="1" applyBorder="1" applyAlignment="1">
      <alignment horizontal="center"/>
    </xf>
    <xf numFmtId="3" fontId="24" fillId="16" borderId="1" xfId="3" applyNumberFormat="1" applyFill="1" applyBorder="1" applyAlignment="1">
      <alignment horizontal="center"/>
    </xf>
    <xf numFmtId="3" fontId="24" fillId="0" borderId="0" xfId="3" applyNumberFormat="1" applyFill="1" applyBorder="1" applyAlignment="1">
      <alignment horizontal="center" vertical="center"/>
    </xf>
    <xf numFmtId="9" fontId="24" fillId="0" borderId="0" xfId="3" applyNumberFormat="1" applyFill="1" applyBorder="1" applyAlignment="1">
      <alignment horizontal="center"/>
    </xf>
    <xf numFmtId="167" fontId="24" fillId="0" borderId="0" xfId="3" applyNumberFormat="1" applyFill="1" applyBorder="1" applyAlignment="1">
      <alignment horizontal="center"/>
    </xf>
    <xf numFmtId="0" fontId="24" fillId="0" borderId="0" xfId="3" applyFill="1" applyAlignment="1">
      <alignment horizontal="center"/>
    </xf>
    <xf numFmtId="0" fontId="66" fillId="0" borderId="0" xfId="3" applyFont="1"/>
    <xf numFmtId="0" fontId="0" fillId="0" borderId="0" xfId="0" applyBorder="1"/>
    <xf numFmtId="0" fontId="0" fillId="16" borderId="14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/>
    </xf>
    <xf numFmtId="0" fontId="0" fillId="16" borderId="14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14" fillId="16" borderId="1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/>
    </xf>
    <xf numFmtId="0" fontId="3" fillId="16" borderId="11" xfId="0" applyFont="1" applyFill="1" applyBorder="1" applyAlignment="1">
      <alignment horizontal="center" vertical="center"/>
    </xf>
    <xf numFmtId="0" fontId="3" fillId="16" borderId="13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 wrapText="1"/>
    </xf>
    <xf numFmtId="0" fontId="0" fillId="20" borderId="1" xfId="0" applyFont="1" applyFill="1" applyBorder="1" applyAlignment="1">
      <alignment horizontal="center" vertical="center" wrapText="1"/>
    </xf>
    <xf numFmtId="0" fontId="11" fillId="20" borderId="0" xfId="0" applyFont="1" applyFill="1" applyAlignment="1">
      <alignment horizontal="center" vertical="center"/>
    </xf>
    <xf numFmtId="0" fontId="11" fillId="20" borderId="0" xfId="0" applyFont="1" applyFill="1" applyBorder="1" applyAlignment="1">
      <alignment vertical="center"/>
    </xf>
    <xf numFmtId="1" fontId="36" fillId="16" borderId="1" xfId="0" applyNumberFormat="1" applyFont="1" applyFill="1" applyBorder="1" applyAlignment="1">
      <alignment horizontal="center" vertical="center" wrapText="1"/>
    </xf>
    <xf numFmtId="9" fontId="36" fillId="16" borderId="1" xfId="0" applyNumberFormat="1" applyFont="1" applyFill="1" applyBorder="1" applyAlignment="1">
      <alignment horizontal="center" vertical="center" wrapText="1"/>
    </xf>
    <xf numFmtId="0" fontId="24" fillId="16" borderId="1" xfId="0" applyFont="1" applyFill="1" applyBorder="1" applyAlignment="1">
      <alignment horizontal="center" vertical="center" wrapText="1"/>
    </xf>
    <xf numFmtId="0" fontId="49" fillId="0" borderId="0" xfId="8" applyAlignment="1">
      <alignment horizontal="center" vertical="center"/>
    </xf>
    <xf numFmtId="0" fontId="3" fillId="28" borderId="1" xfId="7" applyFont="1" applyFill="1" applyBorder="1" applyAlignment="1">
      <alignment horizontal="center" wrapText="1"/>
    </xf>
    <xf numFmtId="0" fontId="3" fillId="28" borderId="1" xfId="7" applyFont="1" applyFill="1" applyBorder="1" applyAlignment="1">
      <alignment horizontal="center" vertical="center" wrapText="1"/>
    </xf>
    <xf numFmtId="0" fontId="7" fillId="29" borderId="1" xfId="7" applyFill="1" applyBorder="1" applyAlignment="1">
      <alignment horizontal="center" vertical="center" wrapText="1"/>
    </xf>
    <xf numFmtId="0" fontId="3" fillId="29" borderId="1" xfId="0" applyFont="1" applyFill="1" applyBorder="1" applyAlignment="1">
      <alignment horizontal="center" vertical="center"/>
    </xf>
    <xf numFmtId="0" fontId="7" fillId="29" borderId="1" xfId="0" applyFont="1" applyFill="1" applyBorder="1" applyAlignment="1">
      <alignment horizontal="center" vertical="center"/>
    </xf>
    <xf numFmtId="0" fontId="49" fillId="29" borderId="0" xfId="8" applyFill="1" applyAlignment="1">
      <alignment horizontal="center" vertical="center"/>
    </xf>
    <xf numFmtId="0" fontId="7" fillId="29" borderId="1" xfId="9" applyFont="1" applyFill="1" applyBorder="1" applyAlignment="1">
      <alignment horizontal="center" vertical="center" wrapText="1"/>
    </xf>
    <xf numFmtId="0" fontId="7" fillId="29" borderId="1" xfId="9" applyFont="1" applyFill="1" applyBorder="1" applyAlignment="1">
      <alignment horizontal="center" vertical="center"/>
    </xf>
    <xf numFmtId="0" fontId="49" fillId="29" borderId="1" xfId="9" applyFill="1" applyBorder="1" applyAlignment="1">
      <alignment horizontal="center" vertical="center" wrapText="1"/>
    </xf>
    <xf numFmtId="0" fontId="49" fillId="29" borderId="0" xfId="9" applyFill="1" applyAlignment="1">
      <alignment horizontal="center" vertical="center"/>
    </xf>
    <xf numFmtId="0" fontId="3" fillId="29" borderId="1" xfId="0" applyFont="1" applyFill="1" applyBorder="1" applyAlignment="1">
      <alignment horizontal="center" vertical="center" wrapText="1"/>
    </xf>
    <xf numFmtId="0" fontId="0" fillId="29" borderId="1" xfId="0" applyFill="1" applyBorder="1" applyAlignment="1">
      <alignment horizontal="center" vertical="center" wrapText="1"/>
    </xf>
    <xf numFmtId="0" fontId="23" fillId="28" borderId="2" xfId="0" applyFont="1" applyFill="1" applyBorder="1" applyAlignment="1">
      <alignment horizontal="center" vertical="center"/>
    </xf>
    <xf numFmtId="0" fontId="3" fillId="29" borderId="1" xfId="9" applyFont="1" applyFill="1" applyBorder="1" applyAlignment="1">
      <alignment horizontal="center" vertical="center" wrapText="1"/>
    </xf>
    <xf numFmtId="0" fontId="50" fillId="29" borderId="1" xfId="0" applyFont="1" applyFill="1" applyBorder="1" applyAlignment="1">
      <alignment horizontal="center" vertical="center" wrapText="1"/>
    </xf>
    <xf numFmtId="0" fontId="50" fillId="29" borderId="1" xfId="9" applyFont="1" applyFill="1" applyBorder="1" applyAlignment="1">
      <alignment horizontal="center" vertical="center" wrapText="1"/>
    </xf>
    <xf numFmtId="0" fontId="49" fillId="29" borderId="0" xfId="8" applyFill="1"/>
    <xf numFmtId="0" fontId="49" fillId="29" borderId="0" xfId="9" applyFill="1"/>
    <xf numFmtId="0" fontId="3" fillId="29" borderId="1" xfId="9" applyFont="1" applyFill="1" applyBorder="1" applyAlignment="1">
      <alignment horizontal="center" vertical="center"/>
    </xf>
    <xf numFmtId="0" fontId="23" fillId="28" borderId="1" xfId="9" applyFont="1" applyFill="1" applyBorder="1" applyAlignment="1">
      <alignment horizontal="center" vertical="center"/>
    </xf>
    <xf numFmtId="0" fontId="23" fillId="28" borderId="2" xfId="9" applyFont="1" applyFill="1" applyBorder="1" applyAlignment="1">
      <alignment horizontal="center" vertical="center"/>
    </xf>
    <xf numFmtId="0" fontId="50" fillId="28" borderId="1" xfId="9" applyFont="1" applyFill="1" applyBorder="1" applyAlignment="1">
      <alignment horizontal="center" vertical="center" wrapText="1"/>
    </xf>
    <xf numFmtId="0" fontId="49" fillId="28" borderId="1" xfId="9" applyFill="1" applyBorder="1" applyAlignment="1">
      <alignment horizontal="center" vertical="center" wrapText="1"/>
    </xf>
    <xf numFmtId="0" fontId="49" fillId="28" borderId="0" xfId="8" applyFill="1"/>
    <xf numFmtId="0" fontId="50" fillId="28" borderId="1" xfId="9" applyFont="1" applyFill="1" applyBorder="1" applyAlignment="1">
      <alignment horizontal="center" vertical="center"/>
    </xf>
    <xf numFmtId="0" fontId="49" fillId="28" borderId="1" xfId="9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 wrapText="1"/>
    </xf>
    <xf numFmtId="3" fontId="0" fillId="30" borderId="1" xfId="0" applyNumberFormat="1" applyFill="1" applyBorder="1" applyAlignment="1">
      <alignment horizontal="center" vertical="center"/>
    </xf>
    <xf numFmtId="3" fontId="0" fillId="26" borderId="1" xfId="0" applyNumberFormat="1" applyFill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3" fontId="0" fillId="4" borderId="9" xfId="0" applyNumberFormat="1" applyFill="1" applyBorder="1" applyAlignment="1">
      <alignment horizontal="center" vertical="center"/>
    </xf>
    <xf numFmtId="0" fontId="3" fillId="0" borderId="0" xfId="0" applyFont="1" applyAlignment="1"/>
    <xf numFmtId="0" fontId="0" fillId="15" borderId="1" xfId="0" applyFill="1" applyBorder="1" applyAlignment="1">
      <alignment horizontal="center" vertical="center"/>
    </xf>
    <xf numFmtId="9" fontId="0" fillId="15" borderId="1" xfId="0" applyNumberFormat="1" applyFill="1" applyBorder="1" applyAlignment="1">
      <alignment horizontal="center" vertical="center"/>
    </xf>
    <xf numFmtId="0" fontId="0" fillId="0" borderId="0" xfId="0" applyFont="1"/>
    <xf numFmtId="3" fontId="0" fillId="10" borderId="1" xfId="0" applyNumberFormat="1" applyFont="1" applyFill="1" applyBorder="1" applyAlignment="1">
      <alignment horizontal="center" vertical="center"/>
    </xf>
    <xf numFmtId="168" fontId="0" fillId="10" borderId="1" xfId="0" applyNumberFormat="1" applyFill="1" applyBorder="1" applyAlignment="1">
      <alignment horizontal="center" vertical="center"/>
    </xf>
    <xf numFmtId="3" fontId="24" fillId="10" borderId="1" xfId="3" applyNumberFormat="1" applyFill="1" applyBorder="1" applyAlignment="1">
      <alignment horizontal="center"/>
    </xf>
    <xf numFmtId="3" fontId="41" fillId="16" borderId="1" xfId="3" applyNumberFormat="1" applyFont="1" applyFill="1" applyBorder="1" applyAlignment="1">
      <alignment horizontal="center" vertical="center" wrapText="1"/>
    </xf>
    <xf numFmtId="2" fontId="41" fillId="16" borderId="1" xfId="3" applyNumberFormat="1" applyFont="1" applyFill="1" applyBorder="1" applyAlignment="1">
      <alignment horizontal="center" vertical="center" wrapText="1"/>
    </xf>
    <xf numFmtId="0" fontId="46" fillId="10" borderId="1" xfId="2" applyFont="1" applyFill="1" applyBorder="1" applyAlignment="1">
      <alignment horizontal="center"/>
    </xf>
    <xf numFmtId="3" fontId="24" fillId="10" borderId="0" xfId="3" applyNumberFormat="1" applyFill="1" applyAlignment="1">
      <alignment horizontal="center"/>
    </xf>
    <xf numFmtId="3" fontId="41" fillId="10" borderId="1" xfId="3" applyNumberFormat="1" applyFont="1" applyFill="1" applyBorder="1" applyAlignment="1">
      <alignment horizontal="center" vertical="center" wrapText="1"/>
    </xf>
    <xf numFmtId="3" fontId="41" fillId="16" borderId="11" xfId="3" applyNumberFormat="1" applyFont="1" applyFill="1" applyBorder="1" applyAlignment="1">
      <alignment horizontal="center" vertical="center" wrapText="1"/>
    </xf>
    <xf numFmtId="0" fontId="46" fillId="10" borderId="27" xfId="2" applyFont="1" applyFill="1" applyBorder="1" applyAlignment="1">
      <alignment horizontal="center"/>
    </xf>
    <xf numFmtId="3" fontId="41" fillId="10" borderId="27" xfId="3" applyNumberFormat="1" applyFont="1" applyFill="1" applyBorder="1" applyAlignment="1">
      <alignment horizontal="center" vertical="center" wrapText="1"/>
    </xf>
    <xf numFmtId="3" fontId="41" fillId="16" borderId="27" xfId="3" applyNumberFormat="1" applyFont="1" applyFill="1" applyBorder="1" applyAlignment="1">
      <alignment horizontal="center" vertical="center" wrapText="1"/>
    </xf>
    <xf numFmtId="3" fontId="24" fillId="10" borderId="27" xfId="3" applyNumberFormat="1" applyFill="1" applyBorder="1" applyAlignment="1">
      <alignment horizontal="center"/>
    </xf>
    <xf numFmtId="0" fontId="46" fillId="10" borderId="29" xfId="2" applyFont="1" applyFill="1" applyBorder="1" applyAlignment="1">
      <alignment horizontal="center"/>
    </xf>
    <xf numFmtId="3" fontId="41" fillId="10" borderId="29" xfId="3" applyNumberFormat="1" applyFont="1" applyFill="1" applyBorder="1" applyAlignment="1">
      <alignment horizontal="center" vertical="center" wrapText="1"/>
    </xf>
    <xf numFmtId="3" fontId="41" fillId="16" borderId="29" xfId="3" applyNumberFormat="1" applyFont="1" applyFill="1" applyBorder="1" applyAlignment="1">
      <alignment horizontal="center" vertical="center" wrapText="1"/>
    </xf>
    <xf numFmtId="3" fontId="24" fillId="16" borderId="11" xfId="3" applyNumberFormat="1" applyFill="1" applyBorder="1" applyAlignment="1">
      <alignment horizontal="center"/>
    </xf>
    <xf numFmtId="3" fontId="24" fillId="2" borderId="1" xfId="3" applyNumberFormat="1" applyFill="1" applyBorder="1" applyAlignment="1">
      <alignment horizontal="center" vertical="center"/>
    </xf>
    <xf numFmtId="3" fontId="48" fillId="0" borderId="0" xfId="3" applyNumberFormat="1" applyFont="1" applyAlignment="1">
      <alignment horizontal="center" vertical="center"/>
    </xf>
    <xf numFmtId="2" fontId="41" fillId="10" borderId="1" xfId="3" applyNumberFormat="1" applyFont="1" applyFill="1" applyBorder="1" applyAlignment="1">
      <alignment horizontal="center" vertical="center" wrapText="1"/>
    </xf>
    <xf numFmtId="3" fontId="24" fillId="10" borderId="11" xfId="3" applyNumberFormat="1" applyFill="1" applyBorder="1" applyAlignment="1">
      <alignment horizontal="center"/>
    </xf>
    <xf numFmtId="3" fontId="41" fillId="10" borderId="11" xfId="3" applyNumberFormat="1" applyFont="1" applyFill="1" applyBorder="1" applyAlignment="1">
      <alignment horizontal="center" vertical="center" wrapText="1"/>
    </xf>
    <xf numFmtId="3" fontId="41" fillId="10" borderId="30" xfId="3" applyNumberFormat="1" applyFont="1" applyFill="1" applyBorder="1" applyAlignment="1">
      <alignment horizontal="center" vertical="center" wrapText="1"/>
    </xf>
    <xf numFmtId="3" fontId="41" fillId="10" borderId="3" xfId="3" applyNumberFormat="1" applyFont="1" applyFill="1" applyBorder="1" applyAlignment="1">
      <alignment horizontal="center" vertical="center" wrapText="1"/>
    </xf>
    <xf numFmtId="3" fontId="41" fillId="10" borderId="1" xfId="3" applyNumberFormat="1" applyFont="1" applyFill="1" applyBorder="1" applyAlignment="1">
      <alignment horizontal="center" vertical="center"/>
    </xf>
    <xf numFmtId="2" fontId="24" fillId="10" borderId="1" xfId="3" applyNumberFormat="1" applyFill="1" applyBorder="1" applyAlignment="1">
      <alignment horizontal="center"/>
    </xf>
    <xf numFmtId="3" fontId="41" fillId="10" borderId="11" xfId="3" applyNumberFormat="1" applyFont="1" applyFill="1" applyBorder="1" applyAlignment="1">
      <alignment horizontal="center" vertical="center"/>
    </xf>
    <xf numFmtId="3" fontId="41" fillId="10" borderId="27" xfId="3" applyNumberFormat="1" applyFont="1" applyFill="1" applyBorder="1" applyAlignment="1">
      <alignment horizontal="center" vertical="center"/>
    </xf>
    <xf numFmtId="2" fontId="24" fillId="16" borderId="1" xfId="3" applyNumberFormat="1" applyFill="1" applyBorder="1" applyAlignment="1">
      <alignment horizontal="center"/>
    </xf>
    <xf numFmtId="3" fontId="24" fillId="16" borderId="27" xfId="3" applyNumberFormat="1" applyFill="1" applyBorder="1" applyAlignment="1">
      <alignment horizontal="center"/>
    </xf>
    <xf numFmtId="3" fontId="24" fillId="16" borderId="29" xfId="3" applyNumberFormat="1" applyFill="1" applyBorder="1" applyAlignment="1">
      <alignment horizontal="center"/>
    </xf>
    <xf numFmtId="3" fontId="43" fillId="10" borderId="1" xfId="3" applyNumberFormat="1" applyFont="1" applyFill="1" applyBorder="1" applyAlignment="1">
      <alignment horizontal="center" vertical="center" wrapText="1"/>
    </xf>
    <xf numFmtId="3" fontId="44" fillId="10" borderId="1" xfId="3" applyNumberFormat="1" applyFont="1" applyFill="1" applyBorder="1" applyAlignment="1">
      <alignment horizontal="center" vertical="center" wrapText="1"/>
    </xf>
    <xf numFmtId="3" fontId="44" fillId="10" borderId="11" xfId="3" applyNumberFormat="1" applyFont="1" applyFill="1" applyBorder="1" applyAlignment="1">
      <alignment horizontal="center" vertical="center" wrapText="1"/>
    </xf>
    <xf numFmtId="3" fontId="44" fillId="10" borderId="27" xfId="3" applyNumberFormat="1" applyFont="1" applyFill="1" applyBorder="1" applyAlignment="1">
      <alignment horizontal="center" vertical="center" wrapText="1"/>
    </xf>
    <xf numFmtId="3" fontId="42" fillId="16" borderId="1" xfId="3" applyNumberFormat="1" applyFont="1" applyFill="1" applyBorder="1" applyAlignment="1">
      <alignment horizontal="center" vertical="center" wrapText="1"/>
    </xf>
    <xf numFmtId="3" fontId="24" fillId="10" borderId="1" xfId="3" applyNumberFormat="1" applyFill="1" applyBorder="1" applyAlignment="1">
      <alignment horizontal="center" vertical="center"/>
    </xf>
    <xf numFmtId="3" fontId="23" fillId="20" borderId="27" xfId="3" applyNumberFormat="1" applyFont="1" applyFill="1" applyBorder="1" applyAlignment="1">
      <alignment horizontal="center" vertical="center" wrapText="1"/>
    </xf>
    <xf numFmtId="3" fontId="23" fillId="20" borderId="1" xfId="3" applyNumberFormat="1" applyFont="1" applyFill="1" applyBorder="1" applyAlignment="1">
      <alignment horizontal="center" vertical="center" wrapText="1"/>
    </xf>
    <xf numFmtId="3" fontId="23" fillId="20" borderId="29" xfId="3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 vertical="center"/>
    </xf>
    <xf numFmtId="3" fontId="7" fillId="10" borderId="1" xfId="0" applyNumberFormat="1" applyFont="1" applyFill="1" applyBorder="1" applyAlignment="1">
      <alignment horizontal="center"/>
    </xf>
    <xf numFmtId="3" fontId="8" fillId="14" borderId="1" xfId="0" applyNumberFormat="1" applyFont="1" applyFill="1" applyBorder="1" applyAlignment="1">
      <alignment horizontal="center"/>
    </xf>
    <xf numFmtId="3" fontId="7" fillId="7" borderId="1" xfId="0" applyNumberFormat="1" applyFont="1" applyFill="1" applyBorder="1" applyAlignment="1">
      <alignment horizontal="center" wrapText="1"/>
    </xf>
    <xf numFmtId="3" fontId="7" fillId="7" borderId="1" xfId="0" applyNumberFormat="1" applyFont="1" applyFill="1" applyBorder="1" applyAlignment="1">
      <alignment horizontal="center"/>
    </xf>
    <xf numFmtId="3" fontId="7" fillId="14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wrapText="1"/>
    </xf>
    <xf numFmtId="3" fontId="0" fillId="7" borderId="1" xfId="0" applyNumberFormat="1" applyFont="1" applyFill="1" applyBorder="1" applyAlignment="1">
      <alignment horizontal="center"/>
    </xf>
    <xf numFmtId="3" fontId="0" fillId="7" borderId="1" xfId="0" applyNumberFormat="1" applyFont="1" applyFill="1" applyBorder="1" applyAlignment="1">
      <alignment horizontal="center" wrapText="1"/>
    </xf>
    <xf numFmtId="3" fontId="0" fillId="7" borderId="1" xfId="3" applyNumberFormat="1" applyFont="1" applyFill="1" applyBorder="1" applyAlignment="1">
      <alignment horizontal="center" wrapText="1"/>
    </xf>
    <xf numFmtId="9" fontId="24" fillId="0" borderId="1" xfId="1" applyFont="1" applyBorder="1" applyAlignment="1">
      <alignment horizontal="center"/>
    </xf>
    <xf numFmtId="3" fontId="67" fillId="0" borderId="0" xfId="3" applyNumberFormat="1" applyFont="1" applyAlignment="1">
      <alignment horizontal="center"/>
    </xf>
    <xf numFmtId="3" fontId="45" fillId="8" borderId="0" xfId="3" applyNumberFormat="1" applyFont="1" applyFill="1" applyAlignment="1">
      <alignment horizontal="center"/>
    </xf>
    <xf numFmtId="3" fontId="24" fillId="8" borderId="1" xfId="3" applyNumberFormat="1" applyFill="1" applyBorder="1" applyAlignment="1">
      <alignment horizontal="center"/>
    </xf>
    <xf numFmtId="3" fontId="45" fillId="8" borderId="0" xfId="3" applyNumberFormat="1" applyFont="1" applyFill="1" applyAlignment="1">
      <alignment horizontal="center" vertical="center"/>
    </xf>
    <xf numFmtId="1" fontId="41" fillId="8" borderId="1" xfId="3" applyNumberFormat="1" applyFont="1" applyFill="1" applyBorder="1" applyAlignment="1">
      <alignment horizontal="center" vertical="center" wrapText="1"/>
    </xf>
    <xf numFmtId="9" fontId="41" fillId="8" borderId="1" xfId="1" applyFont="1" applyFill="1" applyBorder="1" applyAlignment="1">
      <alignment horizontal="center" vertical="center" wrapText="1"/>
    </xf>
    <xf numFmtId="1" fontId="41" fillId="8" borderId="0" xfId="3" applyNumberFormat="1" applyFont="1" applyFill="1" applyBorder="1" applyAlignment="1">
      <alignment horizontal="center" vertical="center" wrapText="1"/>
    </xf>
    <xf numFmtId="2" fontId="41" fillId="8" borderId="1" xfId="3" applyNumberFormat="1" applyFont="1" applyFill="1" applyBorder="1" applyAlignment="1">
      <alignment horizontal="center" vertical="center" wrapText="1"/>
    </xf>
    <xf numFmtId="2" fontId="24" fillId="8" borderId="1" xfId="3" applyNumberFormat="1" applyFill="1" applyBorder="1" applyAlignment="1">
      <alignment horizontal="center"/>
    </xf>
    <xf numFmtId="3" fontId="24" fillId="20" borderId="1" xfId="3" applyNumberFormat="1" applyFill="1" applyBorder="1" applyAlignment="1">
      <alignment horizontal="left"/>
    </xf>
    <xf numFmtId="3" fontId="24" fillId="20" borderId="0" xfId="3" applyNumberFormat="1" applyFill="1" applyAlignment="1">
      <alignment horizontal="center"/>
    </xf>
    <xf numFmtId="0" fontId="46" fillId="10" borderId="11" xfId="2" applyFont="1" applyFill="1" applyBorder="1" applyAlignment="1">
      <alignment horizontal="center"/>
    </xf>
    <xf numFmtId="3" fontId="41" fillId="10" borderId="16" xfId="3" applyNumberFormat="1" applyFont="1" applyFill="1" applyBorder="1" applyAlignment="1">
      <alignment horizontal="center" vertical="center" wrapText="1"/>
    </xf>
    <xf numFmtId="3" fontId="23" fillId="20" borderId="11" xfId="3" applyNumberFormat="1" applyFont="1" applyFill="1" applyBorder="1" applyAlignment="1">
      <alignment horizontal="center" vertical="center" wrapText="1"/>
    </xf>
    <xf numFmtId="3" fontId="42" fillId="20" borderId="27" xfId="3" applyNumberFormat="1" applyFont="1" applyFill="1" applyBorder="1" applyAlignment="1">
      <alignment horizontal="center" vertical="center" wrapText="1"/>
    </xf>
    <xf numFmtId="3" fontId="42" fillId="20" borderId="1" xfId="3" applyNumberFormat="1" applyFont="1" applyFill="1" applyBorder="1" applyAlignment="1">
      <alignment horizontal="center" vertical="center" wrapText="1"/>
    </xf>
    <xf numFmtId="3" fontId="42" fillId="20" borderId="29" xfId="3" applyNumberFormat="1" applyFont="1" applyFill="1" applyBorder="1" applyAlignment="1">
      <alignment horizontal="center" vertical="center" wrapText="1"/>
    </xf>
    <xf numFmtId="0" fontId="68" fillId="0" borderId="0" xfId="3" applyFont="1"/>
    <xf numFmtId="0" fontId="69" fillId="0" borderId="0" xfId="11"/>
    <xf numFmtId="0" fontId="69" fillId="12" borderId="0" xfId="11" applyFill="1" applyAlignment="1">
      <alignment horizontal="center"/>
    </xf>
    <xf numFmtId="0" fontId="69" fillId="13" borderId="0" xfId="11" applyFill="1" applyAlignment="1">
      <alignment horizontal="center"/>
    </xf>
    <xf numFmtId="9" fontId="69" fillId="13" borderId="0" xfId="11" applyNumberFormat="1" applyFill="1" applyAlignment="1">
      <alignment horizontal="center"/>
    </xf>
    <xf numFmtId="0" fontId="69" fillId="13" borderId="0" xfId="11" applyFill="1" applyAlignment="1">
      <alignment horizontal="center" vertical="center"/>
    </xf>
    <xf numFmtId="0" fontId="70" fillId="13" borderId="0" xfId="11" applyFont="1" applyFill="1" applyAlignment="1">
      <alignment horizontal="center"/>
    </xf>
    <xf numFmtId="0" fontId="24" fillId="0" borderId="0" xfId="11" applyFont="1" applyAlignment="1">
      <alignment horizontal="center" vertical="center"/>
    </xf>
    <xf numFmtId="9" fontId="0" fillId="13" borderId="0" xfId="12" applyFont="1" applyFill="1" applyAlignment="1">
      <alignment horizontal="center" vertical="center"/>
    </xf>
    <xf numFmtId="0" fontId="23" fillId="12" borderId="0" xfId="11" applyFont="1" applyFill="1" applyAlignment="1">
      <alignment horizontal="center"/>
    </xf>
    <xf numFmtId="0" fontId="23" fillId="12" borderId="0" xfId="11" applyFont="1" applyFill="1" applyAlignment="1">
      <alignment horizontal="center" vertical="center"/>
    </xf>
    <xf numFmtId="0" fontId="69" fillId="12" borderId="0" xfId="11" applyFill="1"/>
    <xf numFmtId="9" fontId="69" fillId="13" borderId="0" xfId="1" applyFont="1" applyFill="1" applyAlignment="1">
      <alignment horizontal="center"/>
    </xf>
    <xf numFmtId="0" fontId="71" fillId="0" borderId="0" xfId="11" applyFont="1"/>
    <xf numFmtId="0" fontId="72" fillId="0" borderId="0" xfId="11" applyFont="1" applyAlignment="1">
      <alignment horizontal="center" vertical="center"/>
    </xf>
    <xf numFmtId="0" fontId="72" fillId="0" borderId="0" xfId="11" applyFont="1"/>
    <xf numFmtId="0" fontId="69" fillId="13" borderId="0" xfId="11" applyFill="1" applyBorder="1" applyAlignment="1"/>
    <xf numFmtId="0" fontId="69" fillId="13" borderId="0" xfId="11" applyFill="1" applyBorder="1"/>
    <xf numFmtId="0" fontId="23" fillId="12" borderId="0" xfId="11" applyFont="1" applyFill="1" applyBorder="1" applyAlignment="1">
      <alignment horizontal="center"/>
    </xf>
    <xf numFmtId="0" fontId="69" fillId="13" borderId="0" xfId="11" applyFill="1" applyBorder="1" applyAlignment="1">
      <alignment horizontal="center"/>
    </xf>
    <xf numFmtId="9" fontId="69" fillId="13" borderId="31" xfId="1" applyFont="1" applyFill="1" applyBorder="1" applyAlignment="1">
      <alignment horizontal="center"/>
    </xf>
    <xf numFmtId="0" fontId="23" fillId="12" borderId="31" xfId="11" applyFont="1" applyFill="1" applyBorder="1" applyAlignment="1">
      <alignment horizontal="center"/>
    </xf>
    <xf numFmtId="0" fontId="69" fillId="12" borderId="32" xfId="11" applyFill="1" applyBorder="1" applyAlignment="1">
      <alignment horizontal="center"/>
    </xf>
    <xf numFmtId="43" fontId="23" fillId="12" borderId="31" xfId="11" applyNumberFormat="1" applyFont="1" applyFill="1" applyBorder="1" applyAlignment="1">
      <alignment horizontal="center"/>
    </xf>
    <xf numFmtId="43" fontId="69" fillId="13" borderId="0" xfId="13" applyNumberFormat="1" applyFont="1" applyFill="1" applyAlignment="1">
      <alignment horizontal="center" vertical="center"/>
    </xf>
    <xf numFmtId="43" fontId="23" fillId="12" borderId="0" xfId="11" applyNumberFormat="1" applyFont="1" applyFill="1" applyBorder="1" applyAlignment="1">
      <alignment horizontal="center"/>
    </xf>
    <xf numFmtId="9" fontId="69" fillId="13" borderId="31" xfId="1" applyFont="1" applyFill="1" applyBorder="1" applyAlignment="1">
      <alignment horizontal="center" vertical="center"/>
    </xf>
    <xf numFmtId="0" fontId="69" fillId="12" borderId="0" xfId="11" applyFill="1" applyBorder="1" applyAlignment="1">
      <alignment horizontal="center"/>
    </xf>
    <xf numFmtId="0" fontId="69" fillId="13" borderId="32" xfId="11" applyFill="1" applyBorder="1" applyAlignment="1">
      <alignment horizontal="center" vertical="center"/>
    </xf>
    <xf numFmtId="0" fontId="69" fillId="13" borderId="0" xfId="11" applyFill="1" applyBorder="1" applyAlignment="1">
      <alignment horizontal="center" vertical="center"/>
    </xf>
    <xf numFmtId="0" fontId="72" fillId="32" borderId="0" xfId="11" applyFont="1" applyFill="1" applyAlignment="1">
      <alignment horizontal="left"/>
    </xf>
    <xf numFmtId="0" fontId="72" fillId="32" borderId="0" xfId="11" applyFont="1" applyFill="1" applyAlignment="1">
      <alignment horizontal="left" vertical="center"/>
    </xf>
    <xf numFmtId="164" fontId="69" fillId="12" borderId="0" xfId="11" applyNumberFormat="1" applyFill="1"/>
    <xf numFmtId="1" fontId="0" fillId="27" borderId="0" xfId="0" applyNumberFormat="1" applyFont="1" applyFill="1" applyBorder="1" applyAlignment="1">
      <alignment horizontal="center" vertical="center"/>
    </xf>
    <xf numFmtId="1" fontId="17" fillId="10" borderId="0" xfId="0" applyNumberFormat="1" applyFont="1" applyFill="1" applyBorder="1" applyAlignment="1">
      <alignment horizontal="center"/>
    </xf>
    <xf numFmtId="0" fontId="69" fillId="12" borderId="0" xfId="11" applyFill="1" applyAlignment="1">
      <alignment horizontal="center"/>
    </xf>
    <xf numFmtId="0" fontId="69" fillId="13" borderId="0" xfId="11" applyFill="1" applyAlignment="1">
      <alignment horizontal="center"/>
    </xf>
    <xf numFmtId="169" fontId="49" fillId="0" borderId="0" xfId="13" applyNumberFormat="1" applyFont="1" applyAlignment="1">
      <alignment horizontal="center" vertical="center"/>
    </xf>
    <xf numFmtId="166" fontId="49" fillId="0" borderId="0" xfId="8" applyNumberFormat="1" applyAlignment="1">
      <alignment horizontal="center" vertical="center"/>
    </xf>
    <xf numFmtId="1" fontId="49" fillId="0" borderId="0" xfId="8" applyNumberFormat="1" applyAlignment="1">
      <alignment horizontal="center" vertical="center"/>
    </xf>
    <xf numFmtId="1" fontId="24" fillId="0" borderId="0" xfId="3" applyNumberFormat="1"/>
    <xf numFmtId="0" fontId="76" fillId="0" borderId="0" xfId="0" applyFont="1"/>
    <xf numFmtId="0" fontId="14" fillId="0" borderId="1" xfId="0" applyFont="1" applyBorder="1"/>
    <xf numFmtId="3" fontId="3" fillId="0" borderId="1" xfId="0" applyNumberFormat="1" applyFont="1" applyBorder="1" applyAlignment="1">
      <alignment horizontal="center"/>
    </xf>
    <xf numFmtId="3" fontId="3" fillId="35" borderId="1" xfId="0" applyNumberFormat="1" applyFont="1" applyFill="1" applyBorder="1" applyAlignment="1">
      <alignment horizontal="center"/>
    </xf>
    <xf numFmtId="0" fontId="0" fillId="10" borderId="0" xfId="0" applyFill="1" applyBorder="1" applyAlignment="1">
      <alignment horizontal="left" vertical="center"/>
    </xf>
    <xf numFmtId="170" fontId="3" fillId="0" borderId="0" xfId="0" applyNumberFormat="1" applyFont="1"/>
    <xf numFmtId="170" fontId="9" fillId="0" borderId="1" xfId="0" applyNumberFormat="1" applyFont="1" applyBorder="1"/>
    <xf numFmtId="4" fontId="0" fillId="0" borderId="1" xfId="0" applyNumberFormat="1" applyFont="1" applyBorder="1"/>
    <xf numFmtId="9" fontId="69" fillId="13" borderId="0" xfId="1" applyFont="1" applyFill="1" applyBorder="1" applyAlignment="1">
      <alignment horizontal="left"/>
    </xf>
    <xf numFmtId="169" fontId="69" fillId="13" borderId="0" xfId="13" applyNumberFormat="1" applyFont="1" applyFill="1" applyBorder="1" applyAlignment="1">
      <alignment horizontal="center" vertical="center"/>
    </xf>
    <xf numFmtId="2" fontId="69" fillId="0" borderId="0" xfId="11" applyNumberFormat="1"/>
    <xf numFmtId="164" fontId="69" fillId="0" borderId="0" xfId="11" applyNumberFormat="1"/>
    <xf numFmtId="0" fontId="77" fillId="0" borderId="0" xfId="11" applyFont="1" applyAlignment="1">
      <alignment horizontal="center"/>
    </xf>
    <xf numFmtId="0" fontId="49" fillId="0" borderId="0" xfId="8" applyFill="1"/>
    <xf numFmtId="0" fontId="65" fillId="0" borderId="0" xfId="0" applyFont="1" applyFill="1" applyAlignment="1">
      <alignment horizontal="center" vertical="center"/>
    </xf>
    <xf numFmtId="0" fontId="7" fillId="0" borderId="1" xfId="9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/>
    </xf>
    <xf numFmtId="0" fontId="49" fillId="0" borderId="1" xfId="9" applyFill="1" applyBorder="1" applyAlignment="1">
      <alignment horizontal="center" vertical="center" wrapText="1"/>
    </xf>
    <xf numFmtId="0" fontId="49" fillId="0" borderId="0" xfId="9" applyFill="1"/>
    <xf numFmtId="0" fontId="65" fillId="11" borderId="1" xfId="0" applyFont="1" applyFill="1" applyBorder="1" applyAlignment="1">
      <alignment horizontal="center" vertical="center"/>
    </xf>
    <xf numFmtId="0" fontId="65" fillId="11" borderId="1" xfId="0" applyFont="1" applyFill="1" applyBorder="1" applyAlignment="1">
      <alignment horizontal="left" vertical="center"/>
    </xf>
    <xf numFmtId="0" fontId="2" fillId="8" borderId="0" xfId="0" applyFont="1" applyFill="1"/>
    <xf numFmtId="0" fontId="69" fillId="13" borderId="0" xfId="11" applyFill="1" applyAlignment="1">
      <alignment horizontal="center"/>
    </xf>
    <xf numFmtId="3" fontId="18" fillId="0" borderId="5" xfId="0" applyNumberFormat="1" applyFont="1" applyFill="1" applyBorder="1" applyAlignment="1">
      <alignment horizontal="center"/>
    </xf>
    <xf numFmtId="3" fontId="3" fillId="36" borderId="1" xfId="0" applyNumberFormat="1" applyFont="1" applyFill="1" applyBorder="1" applyAlignment="1">
      <alignment horizontal="center"/>
    </xf>
    <xf numFmtId="0" fontId="72" fillId="32" borderId="33" xfId="11" applyFont="1" applyFill="1" applyBorder="1" applyAlignment="1">
      <alignment vertical="center" wrapText="1"/>
    </xf>
    <xf numFmtId="0" fontId="72" fillId="32" borderId="33" xfId="11" applyFont="1" applyFill="1" applyBorder="1" applyAlignment="1">
      <alignment horizontal="center" vertical="center" wrapText="1"/>
    </xf>
    <xf numFmtId="0" fontId="69" fillId="13" borderId="33" xfId="11" applyFill="1" applyBorder="1" applyAlignment="1">
      <alignment horizontal="center"/>
    </xf>
    <xf numFmtId="0" fontId="69" fillId="13" borderId="33" xfId="11" applyFill="1" applyBorder="1" applyAlignment="1">
      <alignment horizontal="center" vertical="center"/>
    </xf>
    <xf numFmtId="9" fontId="69" fillId="13" borderId="33" xfId="1" applyFont="1" applyFill="1" applyBorder="1" applyAlignment="1">
      <alignment horizontal="center" vertical="center"/>
    </xf>
    <xf numFmtId="0" fontId="70" fillId="13" borderId="33" xfId="11" applyFont="1" applyFill="1" applyBorder="1" applyAlignment="1">
      <alignment horizontal="center"/>
    </xf>
    <xf numFmtId="0" fontId="80" fillId="32" borderId="1" xfId="0" applyFont="1" applyFill="1" applyBorder="1" applyAlignment="1">
      <alignment horizontal="center" vertical="center"/>
    </xf>
    <xf numFmtId="0" fontId="78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2" fontId="78" fillId="7" borderId="1" xfId="0" applyNumberFormat="1" applyFont="1" applyFill="1" applyBorder="1" applyAlignment="1">
      <alignment horizontal="center" vertical="center"/>
    </xf>
    <xf numFmtId="1" fontId="78" fillId="7" borderId="1" xfId="0" applyNumberFormat="1" applyFont="1" applyFill="1" applyBorder="1" applyAlignment="1">
      <alignment horizontal="center" vertical="center"/>
    </xf>
    <xf numFmtId="0" fontId="80" fillId="32" borderId="11" xfId="0" applyFont="1" applyFill="1" applyBorder="1" applyAlignment="1">
      <alignment horizontal="center" vertical="center"/>
    </xf>
    <xf numFmtId="9" fontId="65" fillId="7" borderId="1" xfId="1" applyFont="1" applyFill="1" applyBorder="1" applyAlignment="1">
      <alignment horizontal="center" vertical="center"/>
    </xf>
    <xf numFmtId="0" fontId="0" fillId="0" borderId="1" xfId="0" applyBorder="1"/>
    <xf numFmtId="0" fontId="6" fillId="10" borderId="1" xfId="0" applyFont="1" applyFill="1" applyBorder="1" applyAlignment="1">
      <alignment horizontal="center" vertical="center"/>
    </xf>
    <xf numFmtId="1" fontId="81" fillId="7" borderId="1" xfId="0" applyNumberFormat="1" applyFont="1" applyFill="1" applyBorder="1" applyAlignment="1">
      <alignment horizontal="center" vertical="center"/>
    </xf>
    <xf numFmtId="9" fontId="82" fillId="7" borderId="1" xfId="1" applyFont="1" applyFill="1" applyBorder="1" applyAlignment="1">
      <alignment horizontal="center" vertical="center"/>
    </xf>
    <xf numFmtId="2" fontId="81" fillId="7" borderId="1" xfId="0" applyNumberFormat="1" applyFont="1" applyFill="1" applyBorder="1" applyAlignment="1">
      <alignment horizontal="center" vertical="center"/>
    </xf>
    <xf numFmtId="0" fontId="81" fillId="7" borderId="1" xfId="0" applyFont="1" applyFill="1" applyBorder="1" applyAlignment="1">
      <alignment horizontal="center" vertical="center"/>
    </xf>
    <xf numFmtId="166" fontId="81" fillId="7" borderId="1" xfId="0" applyNumberFormat="1" applyFont="1" applyFill="1" applyBorder="1" applyAlignment="1">
      <alignment horizontal="center" vertical="center"/>
    </xf>
    <xf numFmtId="0" fontId="83" fillId="32" borderId="0" xfId="0" applyFont="1" applyFill="1" applyAlignment="1">
      <alignment horizontal="center" vertical="center"/>
    </xf>
    <xf numFmtId="0" fontId="69" fillId="13" borderId="32" xfId="1" applyNumberFormat="1" applyFont="1" applyFill="1" applyBorder="1" applyAlignment="1">
      <alignment horizontal="center"/>
    </xf>
    <xf numFmtId="3" fontId="0" fillId="0" borderId="0" xfId="0" applyNumberFormat="1"/>
    <xf numFmtId="166" fontId="0" fillId="0" borderId="0" xfId="0" applyNumberFormat="1"/>
    <xf numFmtId="0" fontId="8" fillId="0" borderId="1" xfId="0" applyFont="1" applyBorder="1"/>
    <xf numFmtId="3" fontId="3" fillId="0" borderId="1" xfId="0" applyNumberFormat="1" applyFont="1" applyBorder="1"/>
    <xf numFmtId="9" fontId="0" fillId="0" borderId="1" xfId="1" applyFont="1" applyBorder="1"/>
    <xf numFmtId="4" fontId="3" fillId="0" borderId="1" xfId="0" applyNumberFormat="1" applyFont="1" applyBorder="1"/>
    <xf numFmtId="2" fontId="0" fillId="0" borderId="1" xfId="0" applyNumberFormat="1" applyBorder="1"/>
    <xf numFmtId="166" fontId="69" fillId="13" borderId="0" xfId="11" applyNumberFormat="1" applyFill="1" applyAlignment="1">
      <alignment horizontal="center"/>
    </xf>
    <xf numFmtId="166" fontId="69" fillId="12" borderId="0" xfId="11" applyNumberFormat="1" applyFill="1" applyAlignment="1">
      <alignment horizontal="center"/>
    </xf>
    <xf numFmtId="165" fontId="0" fillId="0" borderId="0" xfId="1" applyNumberFormat="1" applyFont="1"/>
    <xf numFmtId="0" fontId="14" fillId="7" borderId="0" xfId="0" applyFont="1" applyFill="1" applyBorder="1"/>
    <xf numFmtId="0" fontId="8" fillId="7" borderId="0" xfId="0" applyFont="1" applyFill="1" applyBorder="1" applyAlignment="1">
      <alignment horizontal="right"/>
    </xf>
    <xf numFmtId="0" fontId="3" fillId="0" borderId="0" xfId="0" applyFont="1" applyBorder="1"/>
    <xf numFmtId="0" fontId="24" fillId="0" borderId="0" xfId="3" applyFont="1" applyAlignment="1">
      <alignment horizontal="left" vertical="top"/>
    </xf>
    <xf numFmtId="0" fontId="7" fillId="17" borderId="1" xfId="3" applyFont="1" applyFill="1" applyBorder="1" applyAlignment="1">
      <alignment horizontal="center" vertical="center"/>
    </xf>
    <xf numFmtId="3" fontId="7" fillId="37" borderId="1" xfId="3" applyNumberFormat="1" applyFont="1" applyFill="1" applyBorder="1" applyAlignment="1">
      <alignment horizontal="center" wrapText="1"/>
    </xf>
    <xf numFmtId="3" fontId="7" fillId="37" borderId="1" xfId="3" applyNumberFormat="1" applyFont="1" applyFill="1" applyBorder="1" applyAlignment="1">
      <alignment horizontal="center"/>
    </xf>
    <xf numFmtId="0" fontId="24" fillId="0" borderId="0" xfId="3" applyNumberFormat="1"/>
    <xf numFmtId="165" fontId="24" fillId="0" borderId="0" xfId="1" applyNumberFormat="1" applyFont="1"/>
    <xf numFmtId="165" fontId="24" fillId="0" borderId="0" xfId="3" applyNumberFormat="1"/>
    <xf numFmtId="0" fontId="7" fillId="37" borderId="1" xfId="3" applyFont="1" applyFill="1" applyBorder="1" applyAlignment="1">
      <alignment horizontal="center" wrapText="1"/>
    </xf>
    <xf numFmtId="0" fontId="7" fillId="17" borderId="1" xfId="3" applyFont="1" applyFill="1" applyBorder="1" applyAlignment="1">
      <alignment horizontal="center" vertical="center" wrapText="1"/>
    </xf>
    <xf numFmtId="0" fontId="0" fillId="0" borderId="0" xfId="0" applyAlignment="1"/>
    <xf numFmtId="0" fontId="24" fillId="40" borderId="11" xfId="3" applyFont="1" applyFill="1" applyBorder="1" applyAlignment="1">
      <alignment horizontal="center" vertical="center" wrapText="1"/>
    </xf>
    <xf numFmtId="3" fontId="24" fillId="40" borderId="1" xfId="3" applyNumberFormat="1" applyFill="1" applyBorder="1" applyAlignment="1">
      <alignment horizontal="center" vertical="center"/>
    </xf>
    <xf numFmtId="3" fontId="24" fillId="40" borderId="11" xfId="3" applyNumberFormat="1" applyFill="1" applyBorder="1" applyAlignment="1">
      <alignment horizontal="center" vertical="center"/>
    </xf>
    <xf numFmtId="0" fontId="24" fillId="38" borderId="11" xfId="3" applyFont="1" applyFill="1" applyBorder="1" applyAlignment="1">
      <alignment horizontal="center" vertical="center" wrapText="1"/>
    </xf>
    <xf numFmtId="3" fontId="24" fillId="38" borderId="1" xfId="3" applyNumberFormat="1" applyFont="1" applyFill="1" applyBorder="1" applyAlignment="1">
      <alignment horizontal="center" vertical="center"/>
    </xf>
    <xf numFmtId="0" fontId="24" fillId="39" borderId="11" xfId="3" applyFont="1" applyFill="1" applyBorder="1" applyAlignment="1">
      <alignment horizontal="center" vertical="center" wrapText="1"/>
    </xf>
    <xf numFmtId="3" fontId="24" fillId="39" borderId="1" xfId="3" applyNumberFormat="1" applyFill="1" applyBorder="1" applyAlignment="1">
      <alignment horizontal="center" vertical="center"/>
    </xf>
    <xf numFmtId="0" fontId="23" fillId="9" borderId="11" xfId="3" applyFont="1" applyFill="1" applyBorder="1" applyAlignment="1">
      <alignment horizontal="center" vertical="center" wrapText="1"/>
    </xf>
    <xf numFmtId="3" fontId="24" fillId="9" borderId="1" xfId="3" applyNumberFormat="1" applyFill="1" applyBorder="1" applyAlignment="1">
      <alignment horizontal="center" vertical="center"/>
    </xf>
    <xf numFmtId="0" fontId="23" fillId="9" borderId="1" xfId="3" applyFont="1" applyFill="1" applyBorder="1" applyAlignment="1">
      <alignment horizontal="center" vertical="center"/>
    </xf>
    <xf numFmtId="3" fontId="24" fillId="40" borderId="1" xfId="3" applyNumberFormat="1" applyFont="1" applyFill="1" applyBorder="1" applyAlignment="1">
      <alignment horizontal="center" vertical="center"/>
    </xf>
    <xf numFmtId="3" fontId="24" fillId="39" borderId="1" xfId="3" applyNumberFormat="1" applyFont="1" applyFill="1" applyBorder="1" applyAlignment="1">
      <alignment horizontal="center" vertical="center"/>
    </xf>
    <xf numFmtId="3" fontId="63" fillId="41" borderId="1" xfId="3" applyNumberFormat="1" applyFont="1" applyFill="1" applyBorder="1" applyAlignment="1">
      <alignment horizontal="center" vertical="center"/>
    </xf>
    <xf numFmtId="3" fontId="24" fillId="41" borderId="1" xfId="3" applyNumberFormat="1" applyFill="1" applyBorder="1" applyAlignment="1">
      <alignment horizontal="center" vertical="center"/>
    </xf>
    <xf numFmtId="0" fontId="63" fillId="17" borderId="1" xfId="3" applyFont="1" applyFill="1" applyBorder="1" applyAlignment="1">
      <alignment horizontal="center" vertical="center"/>
    </xf>
    <xf numFmtId="167" fontId="63" fillId="17" borderId="1" xfId="3" applyNumberFormat="1" applyFont="1" applyFill="1" applyBorder="1" applyAlignment="1">
      <alignment horizontal="center" vertical="center"/>
    </xf>
    <xf numFmtId="0" fontId="63" fillId="41" borderId="1" xfId="3" applyFont="1" applyFill="1" applyBorder="1" applyAlignment="1">
      <alignment horizontal="center" vertical="center"/>
    </xf>
    <xf numFmtId="9" fontId="63" fillId="41" borderId="1" xfId="3" applyNumberFormat="1" applyFont="1" applyFill="1" applyBorder="1" applyAlignment="1">
      <alignment horizontal="center" vertical="center"/>
    </xf>
    <xf numFmtId="167" fontId="24" fillId="17" borderId="1" xfId="3" applyNumberFormat="1" applyFill="1" applyBorder="1" applyAlignment="1">
      <alignment horizontal="center" vertical="center"/>
    </xf>
    <xf numFmtId="167" fontId="68" fillId="17" borderId="1" xfId="3" applyNumberFormat="1" applyFont="1" applyFill="1" applyBorder="1" applyAlignment="1">
      <alignment horizontal="center" vertical="center"/>
    </xf>
    <xf numFmtId="9" fontId="24" fillId="41" borderId="1" xfId="3" applyNumberFormat="1" applyFill="1" applyBorder="1" applyAlignment="1">
      <alignment horizontal="center" vertical="center"/>
    </xf>
    <xf numFmtId="0" fontId="3" fillId="5" borderId="24" xfId="3" applyFont="1" applyFill="1" applyBorder="1" applyAlignment="1">
      <alignment horizontal="center" vertical="center" wrapText="1"/>
    </xf>
    <xf numFmtId="3" fontId="3" fillId="5" borderId="24" xfId="3" applyNumberFormat="1" applyFont="1" applyFill="1" applyBorder="1" applyAlignment="1">
      <alignment horizontal="center" vertical="center" wrapText="1"/>
    </xf>
    <xf numFmtId="0" fontId="7" fillId="10" borderId="14" xfId="3" applyFont="1" applyFill="1" applyBorder="1" applyAlignment="1">
      <alignment horizontal="center" vertical="center"/>
    </xf>
    <xf numFmtId="3" fontId="7" fillId="10" borderId="14" xfId="0" applyNumberFormat="1" applyFont="1" applyFill="1" applyBorder="1" applyAlignment="1">
      <alignment horizontal="center"/>
    </xf>
    <xf numFmtId="3" fontId="54" fillId="10" borderId="14" xfId="3" applyNumberFormat="1" applyFont="1" applyFill="1" applyBorder="1" applyAlignment="1">
      <alignment horizontal="center"/>
    </xf>
    <xf numFmtId="3" fontId="7" fillId="10" borderId="14" xfId="3" applyNumberFormat="1" applyFont="1" applyFill="1" applyBorder="1" applyAlignment="1">
      <alignment horizontal="center"/>
    </xf>
    <xf numFmtId="0" fontId="12" fillId="5" borderId="1" xfId="3" applyFont="1" applyFill="1" applyBorder="1" applyAlignment="1">
      <alignment horizontal="center" vertical="center"/>
    </xf>
    <xf numFmtId="1" fontId="12" fillId="5" borderId="1" xfId="3" applyNumberFormat="1" applyFont="1" applyFill="1" applyBorder="1" applyAlignment="1">
      <alignment horizontal="center" vertical="center"/>
    </xf>
    <xf numFmtId="1" fontId="11" fillId="5" borderId="1" xfId="3" applyNumberFormat="1" applyFont="1" applyFill="1" applyBorder="1" applyAlignment="1">
      <alignment horizontal="center" vertical="center"/>
    </xf>
    <xf numFmtId="0" fontId="7" fillId="17" borderId="14" xfId="3" applyFont="1" applyFill="1" applyBorder="1" applyAlignment="1">
      <alignment horizontal="center" vertical="center" wrapText="1"/>
    </xf>
    <xf numFmtId="0" fontId="3" fillId="5" borderId="14" xfId="3" applyFont="1" applyFill="1" applyBorder="1" applyAlignment="1">
      <alignment horizontal="center" vertical="center" wrapText="1"/>
    </xf>
    <xf numFmtId="3" fontId="3" fillId="5" borderId="14" xfId="3" applyNumberFormat="1" applyFont="1" applyFill="1" applyBorder="1" applyAlignment="1">
      <alignment horizontal="center" vertical="center" wrapText="1"/>
    </xf>
    <xf numFmtId="0" fontId="7" fillId="17" borderId="24" xfId="3" applyFont="1" applyFill="1" applyBorder="1" applyAlignment="1">
      <alignment horizontal="center" vertical="center" wrapText="1"/>
    </xf>
    <xf numFmtId="0" fontId="3" fillId="9" borderId="24" xfId="3" applyFont="1" applyFill="1" applyBorder="1" applyAlignment="1">
      <alignment horizontal="center" vertical="center" wrapText="1"/>
    </xf>
    <xf numFmtId="0" fontId="0" fillId="0" borderId="0" xfId="0" applyNumberFormat="1"/>
    <xf numFmtId="0" fontId="3" fillId="9" borderId="1" xfId="3" applyFont="1" applyFill="1" applyBorder="1" applyAlignment="1">
      <alignment horizontal="center" vertical="center" wrapText="1"/>
    </xf>
    <xf numFmtId="165" fontId="3" fillId="9" borderId="1" xfId="1" applyNumberFormat="1" applyFont="1" applyFill="1" applyBorder="1" applyAlignment="1">
      <alignment horizontal="center" vertical="center" wrapText="1"/>
    </xf>
    <xf numFmtId="3" fontId="7" fillId="37" borderId="1" xfId="0" applyNumberFormat="1" applyFont="1" applyFill="1" applyBorder="1" applyAlignment="1">
      <alignment horizontal="center"/>
    </xf>
    <xf numFmtId="0" fontId="7" fillId="17" borderId="1" xfId="3" applyFont="1" applyFill="1" applyBorder="1" applyAlignment="1">
      <alignment horizontal="center" vertical="center" wrapText="1"/>
    </xf>
    <xf numFmtId="0" fontId="7" fillId="17" borderId="23" xfId="3" applyFont="1" applyFill="1" applyBorder="1" applyAlignment="1">
      <alignment horizontal="center" vertical="center" wrapText="1"/>
    </xf>
    <xf numFmtId="0" fontId="3" fillId="9" borderId="23" xfId="3" applyFont="1" applyFill="1" applyBorder="1" applyAlignment="1">
      <alignment horizontal="center" vertical="center" wrapText="1"/>
    </xf>
    <xf numFmtId="169" fontId="3" fillId="9" borderId="24" xfId="13" applyNumberFormat="1" applyFont="1" applyFill="1" applyBorder="1" applyAlignment="1">
      <alignment horizontal="center" vertical="center" wrapText="1"/>
    </xf>
    <xf numFmtId="0" fontId="0" fillId="20" borderId="0" xfId="0" applyFill="1"/>
    <xf numFmtId="0" fontId="10" fillId="20" borderId="0" xfId="0" applyFont="1" applyFill="1"/>
    <xf numFmtId="0" fontId="48" fillId="0" borderId="0" xfId="0" applyFont="1"/>
    <xf numFmtId="14" fontId="48" fillId="0" borderId="0" xfId="0" applyNumberFormat="1" applyFont="1"/>
    <xf numFmtId="14" fontId="0" fillId="0" borderId="0" xfId="0" applyNumberFormat="1"/>
    <xf numFmtId="0" fontId="1" fillId="20" borderId="0" xfId="0" applyFont="1" applyFill="1" applyAlignment="1"/>
    <xf numFmtId="0" fontId="10" fillId="20" borderId="0" xfId="0" applyFont="1" applyFill="1" applyAlignment="1"/>
    <xf numFmtId="0" fontId="85" fillId="0" borderId="1" xfId="0" applyFont="1" applyBorder="1" applyAlignment="1">
      <alignment horizontal="center"/>
    </xf>
    <xf numFmtId="0" fontId="85" fillId="0" borderId="1" xfId="0" applyFont="1" applyBorder="1"/>
    <xf numFmtId="14" fontId="85" fillId="0" borderId="1" xfId="0" applyNumberFormat="1" applyFont="1" applyBorder="1" applyAlignment="1">
      <alignment horizontal="center"/>
    </xf>
    <xf numFmtId="0" fontId="85" fillId="42" borderId="1" xfId="0" applyFont="1" applyFill="1" applyBorder="1" applyAlignment="1">
      <alignment horizontal="center"/>
    </xf>
    <xf numFmtId="0" fontId="85" fillId="37" borderId="1" xfId="0" applyFont="1" applyFill="1" applyBorder="1" applyAlignment="1">
      <alignment horizontal="center"/>
    </xf>
    <xf numFmtId="0" fontId="85" fillId="0" borderId="0" xfId="0" applyFont="1" applyFill="1" applyBorder="1" applyAlignment="1">
      <alignment horizontal="center"/>
    </xf>
    <xf numFmtId="0" fontId="85" fillId="0" borderId="3" xfId="0" applyFont="1" applyBorder="1"/>
    <xf numFmtId="0" fontId="85" fillId="0" borderId="2" xfId="0" applyFont="1" applyBorder="1"/>
    <xf numFmtId="14" fontId="85" fillId="0" borderId="2" xfId="0" applyNumberFormat="1" applyFont="1" applyBorder="1"/>
    <xf numFmtId="0" fontId="85" fillId="0" borderId="2" xfId="0" applyFont="1" applyBorder="1" applyAlignment="1"/>
    <xf numFmtId="0" fontId="85" fillId="0" borderId="2" xfId="0" applyFont="1" applyBorder="1" applyAlignment="1">
      <alignment horizontal="left"/>
    </xf>
    <xf numFmtId="0" fontId="0" fillId="0" borderId="2" xfId="0" applyFont="1" applyBorder="1"/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4" fontId="85" fillId="0" borderId="11" xfId="0" applyNumberFormat="1" applyFont="1" applyBorder="1" applyAlignment="1">
      <alignment horizontal="center"/>
    </xf>
    <xf numFmtId="14" fontId="85" fillId="0" borderId="25" xfId="0" applyNumberFormat="1" applyFont="1" applyBorder="1"/>
    <xf numFmtId="0" fontId="86" fillId="0" borderId="14" xfId="0" applyFont="1" applyBorder="1" applyAlignment="1">
      <alignment horizontal="center"/>
    </xf>
    <xf numFmtId="0" fontId="0" fillId="0" borderId="0" xfId="0" applyNumberFormat="1" applyAlignment="1"/>
    <xf numFmtId="0" fontId="3" fillId="0" borderId="1" xfId="0" applyFont="1" applyBorder="1"/>
    <xf numFmtId="17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169" fontId="0" fillId="0" borderId="1" xfId="13" applyNumberFormat="1" applyFont="1" applyBorder="1" applyAlignment="1">
      <alignment horizontal="right"/>
    </xf>
    <xf numFmtId="9" fontId="0" fillId="0" borderId="1" xfId="1" applyFont="1" applyBorder="1" applyAlignment="1">
      <alignment horizontal="right"/>
    </xf>
    <xf numFmtId="9" fontId="24" fillId="0" borderId="0" xfId="1" applyFont="1"/>
    <xf numFmtId="9" fontId="24" fillId="0" borderId="0" xfId="1" applyFont="1" applyAlignment="1">
      <alignment horizontal="center" vertical="center"/>
    </xf>
    <xf numFmtId="3" fontId="23" fillId="0" borderId="0" xfId="3" applyNumberFormat="1" applyFont="1" applyAlignment="1">
      <alignment horizontal="center" vertical="center"/>
    </xf>
    <xf numFmtId="0" fontId="7" fillId="17" borderId="1" xfId="3" applyFont="1" applyFill="1" applyBorder="1" applyAlignment="1">
      <alignment horizontal="center" vertical="center"/>
    </xf>
    <xf numFmtId="167" fontId="24" fillId="17" borderId="1" xfId="3" applyNumberFormat="1" applyFill="1" applyBorder="1" applyAlignment="1">
      <alignment horizontal="center"/>
    </xf>
    <xf numFmtId="167" fontId="24" fillId="17" borderId="1" xfId="3" applyNumberFormat="1" applyFill="1" applyBorder="1"/>
    <xf numFmtId="167" fontId="68" fillId="17" borderId="1" xfId="3" applyNumberFormat="1" applyFont="1" applyFill="1" applyBorder="1"/>
    <xf numFmtId="14" fontId="85" fillId="42" borderId="1" xfId="0" applyNumberFormat="1" applyFont="1" applyFill="1" applyBorder="1" applyAlignment="1">
      <alignment horizontal="center"/>
    </xf>
    <xf numFmtId="0" fontId="8" fillId="0" borderId="2" xfId="0" applyFont="1" applyBorder="1"/>
    <xf numFmtId="0" fontId="85" fillId="0" borderId="16" xfId="0" applyFont="1" applyBorder="1"/>
    <xf numFmtId="0" fontId="85" fillId="0" borderId="11" xfId="0" applyFont="1" applyBorder="1"/>
    <xf numFmtId="0" fontId="85" fillId="42" borderId="11" xfId="0" applyFont="1" applyFill="1" applyBorder="1" applyAlignment="1">
      <alignment horizontal="center"/>
    </xf>
    <xf numFmtId="0" fontId="85" fillId="37" borderId="11" xfId="0" applyFont="1" applyFill="1" applyBorder="1" applyAlignment="1">
      <alignment horizontal="center"/>
    </xf>
    <xf numFmtId="0" fontId="85" fillId="0" borderId="11" xfId="0" applyFont="1" applyBorder="1" applyAlignment="1">
      <alignment horizontal="center"/>
    </xf>
    <xf numFmtId="1" fontId="18" fillId="16" borderId="5" xfId="13" applyNumberFormat="1" applyFont="1" applyFill="1" applyBorder="1" applyAlignment="1">
      <alignment horizontal="center" vertical="center"/>
    </xf>
    <xf numFmtId="1" fontId="0" fillId="16" borderId="0" xfId="13" applyNumberFormat="1" applyFont="1" applyFill="1" applyBorder="1" applyAlignment="1">
      <alignment horizontal="center" vertical="center"/>
    </xf>
    <xf numFmtId="1" fontId="0" fillId="23" borderId="0" xfId="13" applyNumberFormat="1" applyFont="1" applyFill="1" applyBorder="1" applyAlignment="1">
      <alignment horizontal="center" vertical="center"/>
    </xf>
    <xf numFmtId="1" fontId="0" fillId="16" borderId="0" xfId="13" applyNumberFormat="1" applyFont="1" applyFill="1" applyBorder="1" applyAlignment="1">
      <alignment horizontal="center"/>
    </xf>
    <xf numFmtId="1" fontId="0" fillId="23" borderId="7" xfId="13" applyNumberFormat="1" applyFont="1" applyFill="1" applyBorder="1" applyAlignment="1">
      <alignment horizontal="center" vertical="center"/>
    </xf>
    <xf numFmtId="1" fontId="0" fillId="16" borderId="7" xfId="13" applyNumberFormat="1" applyFont="1" applyFill="1" applyBorder="1" applyAlignment="1">
      <alignment horizontal="center" vertical="center"/>
    </xf>
    <xf numFmtId="1" fontId="0" fillId="16" borderId="7" xfId="13" applyNumberFormat="1" applyFont="1" applyFill="1" applyBorder="1" applyAlignment="1">
      <alignment horizontal="center"/>
    </xf>
    <xf numFmtId="1" fontId="17" fillId="10" borderId="0" xfId="13" applyNumberFormat="1" applyFont="1" applyFill="1" applyBorder="1" applyAlignment="1">
      <alignment horizontal="center"/>
    </xf>
    <xf numFmtId="1" fontId="0" fillId="27" borderId="0" xfId="13" applyNumberFormat="1" applyFont="1" applyFill="1" applyBorder="1" applyAlignment="1">
      <alignment horizontal="center" vertical="center"/>
    </xf>
    <xf numFmtId="1" fontId="0" fillId="34" borderId="0" xfId="13" applyNumberFormat="1" applyFont="1" applyFill="1" applyBorder="1" applyAlignment="1">
      <alignment horizontal="center" vertical="center"/>
    </xf>
    <xf numFmtId="1" fontId="0" fillId="10" borderId="0" xfId="13" applyNumberFormat="1" applyFont="1" applyFill="1" applyAlignment="1">
      <alignment horizontal="center" vertical="center"/>
    </xf>
    <xf numFmtId="1" fontId="54" fillId="27" borderId="0" xfId="13" applyNumberFormat="1" applyFont="1" applyFill="1" applyBorder="1" applyAlignment="1">
      <alignment horizontal="center" vertical="center"/>
    </xf>
    <xf numFmtId="1" fontId="0" fillId="10" borderId="0" xfId="13" applyNumberFormat="1" applyFont="1" applyFill="1" applyBorder="1" applyAlignment="1">
      <alignment horizontal="center" vertical="center"/>
    </xf>
    <xf numFmtId="1" fontId="31" fillId="21" borderId="5" xfId="13" applyNumberFormat="1" applyFont="1" applyFill="1" applyBorder="1" applyAlignment="1">
      <alignment horizontal="center" vertical="center"/>
    </xf>
    <xf numFmtId="1" fontId="0" fillId="21" borderId="0" xfId="13" applyNumberFormat="1" applyFont="1" applyFill="1" applyBorder="1" applyAlignment="1">
      <alignment horizontal="center" vertical="center"/>
    </xf>
    <xf numFmtId="1" fontId="38" fillId="15" borderId="5" xfId="13" applyNumberFormat="1" applyFont="1" applyFill="1" applyBorder="1" applyAlignment="1">
      <alignment horizontal="center" vertical="center"/>
    </xf>
    <xf numFmtId="1" fontId="0" fillId="15" borderId="0" xfId="13" applyNumberFormat="1" applyFont="1" applyFill="1" applyBorder="1" applyAlignment="1">
      <alignment horizontal="center" vertical="center"/>
    </xf>
    <xf numFmtId="1" fontId="0" fillId="15" borderId="0" xfId="13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" fontId="0" fillId="25" borderId="0" xfId="0" applyNumberFormat="1" applyFill="1" applyBorder="1" applyAlignment="1">
      <alignment horizontal="center" vertical="center"/>
    </xf>
    <xf numFmtId="1" fontId="0" fillId="15" borderId="0" xfId="0" applyNumberFormat="1" applyFill="1" applyBorder="1" applyAlignment="1">
      <alignment horizontal="center" vertical="center"/>
    </xf>
    <xf numFmtId="1" fontId="0" fillId="15" borderId="0" xfId="0" applyNumberFormat="1" applyFill="1" applyBorder="1" applyAlignment="1">
      <alignment horizontal="center"/>
    </xf>
    <xf numFmtId="1" fontId="0" fillId="25" borderId="0" xfId="0" applyNumberFormat="1" applyFill="1" applyAlignment="1">
      <alignment horizontal="center" vertical="center"/>
    </xf>
    <xf numFmtId="1" fontId="0" fillId="15" borderId="0" xfId="0" applyNumberFormat="1" applyFill="1" applyAlignment="1">
      <alignment horizontal="center" vertical="center"/>
    </xf>
    <xf numFmtId="0" fontId="0" fillId="31" borderId="1" xfId="0" applyFill="1" applyBorder="1"/>
    <xf numFmtId="0" fontId="0" fillId="16" borderId="1" xfId="0" applyFill="1" applyBorder="1"/>
    <xf numFmtId="0" fontId="3" fillId="16" borderId="1" xfId="0" applyFont="1" applyFill="1" applyBorder="1"/>
    <xf numFmtId="3" fontId="3" fillId="16" borderId="1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2" fontId="0" fillId="0" borderId="0" xfId="0" applyNumberFormat="1"/>
    <xf numFmtId="9" fontId="0" fillId="0" borderId="0" xfId="0" applyNumberFormat="1"/>
    <xf numFmtId="169" fontId="0" fillId="16" borderId="1" xfId="13" applyNumberFormat="1" applyFont="1" applyFill="1" applyBorder="1"/>
    <xf numFmtId="0" fontId="3" fillId="36" borderId="1" xfId="0" applyFont="1" applyFill="1" applyBorder="1"/>
    <xf numFmtId="0" fontId="3" fillId="0" borderId="11" xfId="0" applyFont="1" applyBorder="1" applyAlignment="1">
      <alignment horizontal="center"/>
    </xf>
    <xf numFmtId="169" fontId="0" fillId="0" borderId="1" xfId="13" applyNumberFormat="1" applyFont="1" applyBorder="1"/>
    <xf numFmtId="0" fontId="65" fillId="0" borderId="1" xfId="0" applyFont="1" applyBorder="1" applyAlignment="1">
      <alignment horizontal="center" vertical="center"/>
    </xf>
    <xf numFmtId="0" fontId="3" fillId="22" borderId="12" xfId="0" applyFont="1" applyFill="1" applyBorder="1" applyAlignment="1">
      <alignment horizontal="center" vertical="center"/>
    </xf>
    <xf numFmtId="168" fontId="0" fillId="4" borderId="1" xfId="0" applyNumberFormat="1" applyFill="1" applyBorder="1" applyAlignment="1">
      <alignment horizontal="center" vertical="center"/>
    </xf>
    <xf numFmtId="0" fontId="3" fillId="21" borderId="2" xfId="0" applyFont="1" applyFill="1" applyBorder="1" applyAlignment="1">
      <alignment horizontal="center" vertical="center"/>
    </xf>
    <xf numFmtId="3" fontId="54" fillId="7" borderId="1" xfId="0" applyNumberFormat="1" applyFont="1" applyFill="1" applyBorder="1" applyAlignment="1">
      <alignment horizontal="center" wrapText="1"/>
    </xf>
    <xf numFmtId="3" fontId="7" fillId="34" borderId="1" xfId="0" applyNumberFormat="1" applyFont="1" applyFill="1" applyBorder="1" applyAlignment="1">
      <alignment horizontal="center" wrapText="1"/>
    </xf>
    <xf numFmtId="166" fontId="0" fillId="16" borderId="1" xfId="13" applyNumberFormat="1" applyFont="1" applyFill="1" applyBorder="1"/>
    <xf numFmtId="0" fontId="14" fillId="15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center" wrapText="1"/>
    </xf>
    <xf numFmtId="0" fontId="14" fillId="15" borderId="1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8" fillId="15" borderId="1" xfId="0" applyFont="1" applyFill="1" applyBorder="1" applyAlignment="1">
      <alignment horizontal="center" vertical="center"/>
    </xf>
    <xf numFmtId="4" fontId="0" fillId="0" borderId="0" xfId="0" applyNumberFormat="1"/>
    <xf numFmtId="4" fontId="89" fillId="44" borderId="0" xfId="0" applyNumberFormat="1" applyFont="1" applyFill="1"/>
    <xf numFmtId="0" fontId="89" fillId="44" borderId="0" xfId="0" applyFont="1" applyFill="1"/>
    <xf numFmtId="0" fontId="2" fillId="0" borderId="0" xfId="0" applyFont="1" applyBorder="1" applyAlignment="1">
      <alignment horizontal="center" vertical="center"/>
    </xf>
    <xf numFmtId="9" fontId="3" fillId="0" borderId="0" xfId="1" applyFont="1" applyBorder="1" applyAlignment="1">
      <alignment horizontal="center"/>
    </xf>
    <xf numFmtId="0" fontId="0" fillId="0" borderId="0" xfId="0" applyFont="1" applyBorder="1"/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1" fillId="0" borderId="0" xfId="0" applyFont="1" applyBorder="1"/>
    <xf numFmtId="9" fontId="7" fillId="0" borderId="0" xfId="1" applyFont="1" applyBorder="1" applyAlignment="1">
      <alignment horizontal="center"/>
    </xf>
    <xf numFmtId="9" fontId="7" fillId="7" borderId="0" xfId="1" applyFont="1" applyFill="1" applyBorder="1" applyAlignment="1">
      <alignment horizontal="center"/>
    </xf>
    <xf numFmtId="9" fontId="79" fillId="7" borderId="0" xfId="1" applyFont="1" applyFill="1" applyBorder="1" applyAlignment="1">
      <alignment horizontal="center"/>
    </xf>
    <xf numFmtId="0" fontId="0" fillId="7" borderId="0" xfId="0" applyFill="1" applyBorder="1"/>
    <xf numFmtId="0" fontId="0" fillId="7" borderId="0" xfId="0" applyFont="1" applyFill="1" applyBorder="1"/>
    <xf numFmtId="0" fontId="0" fillId="7" borderId="0" xfId="0" applyFont="1" applyFill="1"/>
    <xf numFmtId="0" fontId="0" fillId="7" borderId="0" xfId="0" applyFill="1" applyBorder="1" applyAlignment="1">
      <alignment horizontal="right" vertical="center"/>
    </xf>
    <xf numFmtId="166" fontId="0" fillId="7" borderId="0" xfId="0" applyNumberFormat="1" applyFill="1" applyBorder="1" applyAlignment="1">
      <alignment horizontal="center" vertical="center"/>
    </xf>
    <xf numFmtId="166" fontId="8" fillId="7" borderId="0" xfId="0" applyNumberFormat="1" applyFont="1" applyFill="1" applyBorder="1" applyAlignment="1">
      <alignment horizontal="center" vertical="center"/>
    </xf>
    <xf numFmtId="0" fontId="8" fillId="7" borderId="0" xfId="0" applyFont="1" applyFill="1" applyBorder="1"/>
    <xf numFmtId="166" fontId="18" fillId="7" borderId="0" xfId="0" applyNumberFormat="1" applyFont="1" applyFill="1" applyBorder="1" applyAlignment="1">
      <alignment horizontal="center" vertical="center"/>
    </xf>
    <xf numFmtId="9" fontId="18" fillId="7" borderId="0" xfId="0" applyNumberFormat="1" applyFont="1" applyFill="1" applyBorder="1"/>
    <xf numFmtId="9" fontId="17" fillId="7" borderId="0" xfId="0" applyNumberFormat="1" applyFont="1" applyFill="1" applyBorder="1"/>
    <xf numFmtId="9" fontId="0" fillId="7" borderId="0" xfId="0" applyNumberFormat="1" applyFill="1" applyBorder="1"/>
    <xf numFmtId="166" fontId="0" fillId="7" borderId="0" xfId="0" applyNumberFormat="1" applyFill="1" applyBorder="1"/>
    <xf numFmtId="3" fontId="18" fillId="7" borderId="0" xfId="0" applyNumberFormat="1" applyFont="1" applyFill="1" applyBorder="1" applyAlignment="1">
      <alignment horizontal="center"/>
    </xf>
    <xf numFmtId="3" fontId="0" fillId="7" borderId="0" xfId="0" applyNumberFormat="1" applyFill="1" applyBorder="1" applyAlignment="1">
      <alignment horizontal="center"/>
    </xf>
    <xf numFmtId="169" fontId="0" fillId="7" borderId="0" xfId="0" applyNumberFormat="1" applyFill="1" applyBorder="1"/>
    <xf numFmtId="0" fontId="3" fillId="7" borderId="0" xfId="0" applyFont="1" applyFill="1" applyBorder="1"/>
    <xf numFmtId="0" fontId="3" fillId="7" borderId="0" xfId="0" applyFont="1" applyFill="1" applyBorder="1" applyAlignment="1">
      <alignment horizontal="center" vertical="center"/>
    </xf>
    <xf numFmtId="166" fontId="19" fillId="7" borderId="0" xfId="0" applyNumberFormat="1" applyFont="1" applyFill="1" applyBorder="1" applyAlignment="1">
      <alignment horizontal="center"/>
    </xf>
    <xf numFmtId="9" fontId="16" fillId="7" borderId="0" xfId="0" applyNumberFormat="1" applyFont="1" applyFill="1" applyBorder="1"/>
    <xf numFmtId="9" fontId="0" fillId="7" borderId="0" xfId="1" applyFont="1" applyFill="1" applyBorder="1"/>
    <xf numFmtId="0" fontId="15" fillId="7" borderId="0" xfId="0" applyFont="1" applyFill="1" applyBorder="1"/>
    <xf numFmtId="0" fontId="11" fillId="7" borderId="0" xfId="0" applyFont="1" applyFill="1"/>
    <xf numFmtId="0" fontId="12" fillId="7" borderId="0" xfId="0" applyFont="1" applyFill="1"/>
    <xf numFmtId="0" fontId="10" fillId="7" borderId="0" xfId="0" applyFont="1" applyFill="1"/>
    <xf numFmtId="0" fontId="2" fillId="7" borderId="0" xfId="0" applyFont="1" applyFill="1"/>
    <xf numFmtId="0" fontId="0" fillId="0" borderId="0" xfId="0" applyAlignment="1">
      <alignment horizontal="center"/>
    </xf>
    <xf numFmtId="0" fontId="14" fillId="8" borderId="0" xfId="0" applyFont="1" applyFill="1"/>
    <xf numFmtId="0" fontId="3" fillId="8" borderId="34" xfId="0" applyFont="1" applyFill="1" applyBorder="1"/>
    <xf numFmtId="169" fontId="11" fillId="0" borderId="6" xfId="1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31" xfId="0" applyBorder="1"/>
    <xf numFmtId="0" fontId="0" fillId="41" borderId="0" xfId="0" applyFill="1"/>
    <xf numFmtId="0" fontId="0" fillId="41" borderId="31" xfId="0" applyFill="1" applyBorder="1"/>
    <xf numFmtId="0" fontId="3" fillId="41" borderId="0" xfId="0" applyFont="1" applyFill="1"/>
    <xf numFmtId="169" fontId="3" fillId="16" borderId="1" xfId="13" applyNumberFormat="1" applyFont="1" applyFill="1" applyBorder="1" applyAlignment="1">
      <alignment horizontal="center" vertical="center"/>
    </xf>
    <xf numFmtId="0" fontId="0" fillId="41" borderId="1" xfId="0" applyFill="1" applyBorder="1"/>
    <xf numFmtId="9" fontId="3" fillId="16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/>
    <xf numFmtId="3" fontId="18" fillId="0" borderId="0" xfId="0" applyNumberFormat="1" applyFont="1" applyFill="1" applyBorder="1" applyAlignment="1">
      <alignment horizontal="center"/>
    </xf>
    <xf numFmtId="9" fontId="17" fillId="0" borderId="35" xfId="0" applyNumberFormat="1" applyFont="1" applyBorder="1"/>
    <xf numFmtId="9" fontId="16" fillId="0" borderId="36" xfId="0" applyNumberFormat="1" applyFont="1" applyBorder="1"/>
    <xf numFmtId="1" fontId="18" fillId="0" borderId="0" xfId="0" applyNumberFormat="1" applyFont="1" applyFill="1" applyAlignment="1">
      <alignment horizontal="center" vertical="center"/>
    </xf>
    <xf numFmtId="0" fontId="0" fillId="16" borderId="1" xfId="0" applyFont="1" applyFill="1" applyBorder="1" applyAlignment="1">
      <alignment horizontal="center"/>
    </xf>
    <xf numFmtId="0" fontId="0" fillId="0" borderId="1" xfId="0" applyFont="1" applyBorder="1"/>
    <xf numFmtId="0" fontId="24" fillId="18" borderId="1" xfId="11" applyFont="1" applyFill="1" applyBorder="1" applyAlignment="1">
      <alignment horizontal="center" vertical="center"/>
    </xf>
    <xf numFmtId="0" fontId="69" fillId="13" borderId="1" xfId="11" applyFill="1" applyBorder="1" applyAlignment="1">
      <alignment horizontal="center" wrapText="1"/>
    </xf>
    <xf numFmtId="0" fontId="69" fillId="0" borderId="1" xfId="11" applyBorder="1"/>
    <xf numFmtId="0" fontId="24" fillId="46" borderId="11" xfId="3" applyFont="1" applyFill="1" applyBorder="1" applyAlignment="1">
      <alignment horizontal="center" vertical="center" wrapText="1"/>
    </xf>
    <xf numFmtId="3" fontId="24" fillId="46" borderId="1" xfId="3" applyNumberFormat="1" applyFill="1" applyBorder="1" applyAlignment="1">
      <alignment horizontal="center" vertical="center"/>
    </xf>
    <xf numFmtId="3" fontId="24" fillId="46" borderId="1" xfId="3" applyNumberFormat="1" applyFont="1" applyFill="1" applyBorder="1" applyAlignment="1">
      <alignment horizontal="center" vertical="center"/>
    </xf>
    <xf numFmtId="0" fontId="24" fillId="31" borderId="11" xfId="3" applyFont="1" applyFill="1" applyBorder="1" applyAlignment="1">
      <alignment horizontal="center" vertical="center" wrapText="1"/>
    </xf>
    <xf numFmtId="3" fontId="24" fillId="31" borderId="1" xfId="3" applyNumberFormat="1" applyFill="1" applyBorder="1" applyAlignment="1">
      <alignment horizontal="center" vertical="center"/>
    </xf>
    <xf numFmtId="168" fontId="24" fillId="31" borderId="1" xfId="3" applyNumberFormat="1" applyFill="1" applyBorder="1" applyAlignment="1">
      <alignment horizontal="center" vertical="center"/>
    </xf>
    <xf numFmtId="168" fontId="24" fillId="31" borderId="1" xfId="3" applyNumberFormat="1" applyFont="1" applyFill="1" applyBorder="1" applyAlignment="1">
      <alignment horizontal="center" vertical="center"/>
    </xf>
    <xf numFmtId="0" fontId="23" fillId="31" borderId="1" xfId="3" applyFont="1" applyFill="1" applyBorder="1" applyAlignment="1">
      <alignment horizontal="center" vertical="center"/>
    </xf>
    <xf numFmtId="0" fontId="3" fillId="5" borderId="24" xfId="3" applyFont="1" applyFill="1" applyBorder="1" applyAlignment="1">
      <alignment horizontal="center" vertical="center" wrapText="1"/>
    </xf>
    <xf numFmtId="0" fontId="3" fillId="5" borderId="11" xfId="3" applyFont="1" applyFill="1" applyBorder="1" applyAlignment="1">
      <alignment horizontal="center" wrapText="1"/>
    </xf>
    <xf numFmtId="3" fontId="3" fillId="5" borderId="11" xfId="3" applyNumberFormat="1" applyFont="1" applyFill="1" applyBorder="1" applyAlignment="1">
      <alignment horizontal="center" wrapText="1"/>
    </xf>
    <xf numFmtId="168" fontId="3" fillId="5" borderId="24" xfId="3" applyNumberFormat="1" applyFont="1" applyFill="1" applyBorder="1" applyAlignment="1">
      <alignment horizontal="center" wrapText="1"/>
    </xf>
    <xf numFmtId="3" fontId="3" fillId="37" borderId="1" xfId="0" applyNumberFormat="1" applyFont="1" applyFill="1" applyBorder="1" applyAlignment="1">
      <alignment horizontal="center"/>
    </xf>
    <xf numFmtId="3" fontId="93" fillId="0" borderId="1" xfId="0" applyNumberFormat="1" applyFont="1" applyBorder="1"/>
    <xf numFmtId="4" fontId="14" fillId="0" borderId="1" xfId="0" applyNumberFormat="1" applyFont="1" applyBorder="1"/>
    <xf numFmtId="166" fontId="0" fillId="0" borderId="35" xfId="0" applyNumberForma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62" fillId="5" borderId="11" xfId="3" applyFont="1" applyFill="1" applyBorder="1" applyAlignment="1">
      <alignment horizontal="center" vertical="center"/>
    </xf>
    <xf numFmtId="0" fontId="62" fillId="5" borderId="14" xfId="3" applyFont="1" applyFill="1" applyBorder="1" applyAlignment="1">
      <alignment horizontal="center" vertical="center"/>
    </xf>
    <xf numFmtId="0" fontId="28" fillId="5" borderId="1" xfId="3" applyFont="1" applyFill="1" applyBorder="1" applyAlignment="1">
      <alignment horizontal="center" vertical="center"/>
    </xf>
    <xf numFmtId="0" fontId="7" fillId="17" borderId="14" xfId="3" applyFont="1" applyFill="1" applyBorder="1" applyAlignment="1">
      <alignment horizontal="center" vertical="center" wrapText="1"/>
    </xf>
    <xf numFmtId="0" fontId="7" fillId="17" borderId="1" xfId="3" applyFont="1" applyFill="1" applyBorder="1" applyAlignment="1">
      <alignment horizontal="center" vertical="center"/>
    </xf>
    <xf numFmtId="0" fontId="62" fillId="5" borderId="11" xfId="3" applyFont="1" applyFill="1" applyBorder="1" applyAlignment="1">
      <alignment horizontal="center" vertical="center" wrapText="1"/>
    </xf>
    <xf numFmtId="0" fontId="62" fillId="5" borderId="14" xfId="3" applyFont="1" applyFill="1" applyBorder="1" applyAlignment="1">
      <alignment horizontal="center" vertical="center" wrapText="1"/>
    </xf>
    <xf numFmtId="0" fontId="62" fillId="5" borderId="25" xfId="3" applyFont="1" applyFill="1" applyBorder="1" applyAlignment="1">
      <alignment horizontal="center" vertical="center"/>
    </xf>
    <xf numFmtId="0" fontId="62" fillId="5" borderId="12" xfId="3" applyFont="1" applyFill="1" applyBorder="1" applyAlignment="1">
      <alignment horizontal="center" vertical="center"/>
    </xf>
    <xf numFmtId="0" fontId="62" fillId="5" borderId="16" xfId="3" applyFont="1" applyFill="1" applyBorder="1" applyAlignment="1">
      <alignment horizontal="center" vertical="center"/>
    </xf>
    <xf numFmtId="0" fontId="62" fillId="5" borderId="17" xfId="3" applyFont="1" applyFill="1" applyBorder="1" applyAlignment="1">
      <alignment horizontal="center" vertical="center"/>
    </xf>
    <xf numFmtId="0" fontId="62" fillId="5" borderId="15" xfId="3" applyFont="1" applyFill="1" applyBorder="1" applyAlignment="1">
      <alignment horizontal="center" vertical="center"/>
    </xf>
    <xf numFmtId="0" fontId="62" fillId="5" borderId="13" xfId="3" applyFont="1" applyFill="1" applyBorder="1" applyAlignment="1">
      <alignment horizontal="center" vertical="center"/>
    </xf>
    <xf numFmtId="0" fontId="63" fillId="17" borderId="2" xfId="3" applyFont="1" applyFill="1" applyBorder="1" applyAlignment="1">
      <alignment horizontal="center" vertical="center"/>
    </xf>
    <xf numFmtId="0" fontId="63" fillId="17" borderId="4" xfId="3" applyFont="1" applyFill="1" applyBorder="1" applyAlignment="1">
      <alignment horizontal="center" vertical="center"/>
    </xf>
    <xf numFmtId="0" fontId="63" fillId="17" borderId="3" xfId="3" applyFont="1" applyFill="1" applyBorder="1" applyAlignment="1">
      <alignment horizontal="center" vertical="center"/>
    </xf>
    <xf numFmtId="3" fontId="63" fillId="17" borderId="2" xfId="3" applyNumberFormat="1" applyFont="1" applyFill="1" applyBorder="1" applyAlignment="1">
      <alignment horizontal="center" vertical="center"/>
    </xf>
    <xf numFmtId="3" fontId="63" fillId="17" borderId="4" xfId="3" applyNumberFormat="1" applyFont="1" applyFill="1" applyBorder="1" applyAlignment="1">
      <alignment horizontal="center" vertical="center"/>
    </xf>
    <xf numFmtId="3" fontId="63" fillId="17" borderId="3" xfId="3" applyNumberFormat="1" applyFont="1" applyFill="1" applyBorder="1" applyAlignment="1">
      <alignment horizontal="center" vertical="center"/>
    </xf>
    <xf numFmtId="0" fontId="63" fillId="41" borderId="2" xfId="3" applyFont="1" applyFill="1" applyBorder="1" applyAlignment="1">
      <alignment horizontal="center" vertical="center"/>
    </xf>
    <xf numFmtId="0" fontId="63" fillId="41" borderId="4" xfId="3" applyFont="1" applyFill="1" applyBorder="1" applyAlignment="1">
      <alignment horizontal="center" vertical="center"/>
    </xf>
    <xf numFmtId="0" fontId="63" fillId="41" borderId="3" xfId="3" applyFont="1" applyFill="1" applyBorder="1" applyAlignment="1">
      <alignment horizontal="center" vertical="center"/>
    </xf>
    <xf numFmtId="0" fontId="3" fillId="5" borderId="22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3" fillId="5" borderId="24" xfId="3" applyFont="1" applyFill="1" applyBorder="1" applyAlignment="1">
      <alignment horizontal="center" vertical="center" wrapText="1"/>
    </xf>
    <xf numFmtId="0" fontId="3" fillId="5" borderId="21" xfId="3" applyFont="1" applyFill="1" applyBorder="1" applyAlignment="1">
      <alignment horizontal="center" vertical="center" wrapText="1"/>
    </xf>
    <xf numFmtId="0" fontId="3" fillId="5" borderId="9" xfId="3" applyFont="1" applyFill="1" applyBorder="1" applyAlignment="1">
      <alignment horizontal="center" vertical="center" wrapText="1"/>
    </xf>
    <xf numFmtId="0" fontId="3" fillId="5" borderId="23" xfId="3" applyFont="1" applyFill="1" applyBorder="1" applyAlignment="1">
      <alignment horizontal="center" vertical="center" wrapText="1"/>
    </xf>
    <xf numFmtId="0" fontId="7" fillId="17" borderId="9" xfId="3" applyFont="1" applyFill="1" applyBorder="1" applyAlignment="1">
      <alignment horizontal="center" vertical="center"/>
    </xf>
    <xf numFmtId="0" fontId="7" fillId="17" borderId="14" xfId="3" applyFont="1" applyFill="1" applyBorder="1" applyAlignment="1">
      <alignment horizontal="center" vertical="center"/>
    </xf>
    <xf numFmtId="0" fontId="7" fillId="17" borderId="1" xfId="3" applyFont="1" applyFill="1" applyBorder="1" applyAlignment="1">
      <alignment horizontal="center" vertical="center" wrapText="1"/>
    </xf>
    <xf numFmtId="3" fontId="24" fillId="41" borderId="2" xfId="3" applyNumberFormat="1" applyFill="1" applyBorder="1" applyAlignment="1">
      <alignment horizontal="center" vertical="center"/>
    </xf>
    <xf numFmtId="3" fontId="24" fillId="41" borderId="4" xfId="3" applyNumberFormat="1" applyFill="1" applyBorder="1" applyAlignment="1">
      <alignment horizontal="center" vertical="center"/>
    </xf>
    <xf numFmtId="3" fontId="24" fillId="41" borderId="3" xfId="3" applyNumberFormat="1" applyFill="1" applyBorder="1" applyAlignment="1">
      <alignment horizontal="center" vertical="center"/>
    </xf>
    <xf numFmtId="3" fontId="24" fillId="17" borderId="2" xfId="3" applyNumberFormat="1" applyFill="1" applyBorder="1" applyAlignment="1">
      <alignment horizontal="center" vertical="center"/>
    </xf>
    <xf numFmtId="3" fontId="24" fillId="17" borderId="4" xfId="3" applyNumberFormat="1" applyFill="1" applyBorder="1" applyAlignment="1">
      <alignment horizontal="center" vertical="center"/>
    </xf>
    <xf numFmtId="3" fontId="24" fillId="17" borderId="3" xfId="3" applyNumberFormat="1" applyFill="1" applyBorder="1" applyAlignment="1">
      <alignment horizontal="center" vertical="center"/>
    </xf>
    <xf numFmtId="3" fontId="63" fillId="41" borderId="2" xfId="3" applyNumberFormat="1" applyFont="1" applyFill="1" applyBorder="1" applyAlignment="1">
      <alignment horizontal="center" vertical="center"/>
    </xf>
    <xf numFmtId="3" fontId="63" fillId="41" borderId="4" xfId="3" applyNumberFormat="1" applyFont="1" applyFill="1" applyBorder="1" applyAlignment="1">
      <alignment horizontal="center" vertical="center"/>
    </xf>
    <xf numFmtId="3" fontId="63" fillId="41" borderId="3" xfId="3" applyNumberFormat="1" applyFont="1" applyFill="1" applyBorder="1" applyAlignment="1">
      <alignment horizontal="center" vertical="center"/>
    </xf>
    <xf numFmtId="0" fontId="7" fillId="17" borderId="11" xfId="3" applyFont="1" applyFill="1" applyBorder="1" applyAlignment="1">
      <alignment horizontal="center" vertical="center" wrapText="1"/>
    </xf>
    <xf numFmtId="0" fontId="7" fillId="17" borderId="9" xfId="3" applyFont="1" applyFill="1" applyBorder="1" applyAlignment="1">
      <alignment horizontal="center" vertical="center" wrapText="1"/>
    </xf>
    <xf numFmtId="0" fontId="7" fillId="5" borderId="21" xfId="3" applyFont="1" applyFill="1" applyBorder="1" applyAlignment="1">
      <alignment horizontal="center" vertical="center" wrapText="1"/>
    </xf>
    <xf numFmtId="0" fontId="7" fillId="5" borderId="9" xfId="3" applyFont="1" applyFill="1" applyBorder="1" applyAlignment="1">
      <alignment horizontal="center" vertical="center" wrapText="1"/>
    </xf>
    <xf numFmtId="0" fontId="7" fillId="5" borderId="23" xfId="3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/>
    </xf>
    <xf numFmtId="0" fontId="7" fillId="5" borderId="24" xfId="3" applyFont="1" applyFill="1" applyBorder="1" applyAlignment="1">
      <alignment horizontal="center" vertical="center"/>
    </xf>
    <xf numFmtId="0" fontId="7" fillId="5" borderId="14" xfId="3" applyFont="1" applyFill="1" applyBorder="1" applyAlignment="1">
      <alignment horizontal="center" vertical="center"/>
    </xf>
    <xf numFmtId="0" fontId="7" fillId="5" borderId="22" xfId="3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 wrapText="1"/>
    </xf>
    <xf numFmtId="0" fontId="7" fillId="5" borderId="24" xfId="3" applyFont="1" applyFill="1" applyBorder="1" applyAlignment="1">
      <alignment horizontal="center" vertical="center" wrapText="1"/>
    </xf>
    <xf numFmtId="0" fontId="7" fillId="17" borderId="21" xfId="3" applyFont="1" applyFill="1" applyBorder="1" applyAlignment="1">
      <alignment horizontal="center" vertical="center"/>
    </xf>
    <xf numFmtId="0" fontId="7" fillId="5" borderId="21" xfId="3" applyFont="1" applyFill="1" applyBorder="1" applyAlignment="1">
      <alignment horizontal="center" vertical="center"/>
    </xf>
    <xf numFmtId="0" fontId="7" fillId="5" borderId="9" xfId="3" applyFont="1" applyFill="1" applyBorder="1" applyAlignment="1">
      <alignment horizontal="center" vertical="center"/>
    </xf>
    <xf numFmtId="0" fontId="7" fillId="5" borderId="23" xfId="3" applyFont="1" applyFill="1" applyBorder="1" applyAlignment="1">
      <alignment horizontal="center" vertical="center"/>
    </xf>
    <xf numFmtId="3" fontId="24" fillId="14" borderId="2" xfId="3" applyNumberFormat="1" applyFill="1" applyBorder="1" applyAlignment="1">
      <alignment horizontal="center" vertical="center"/>
    </xf>
    <xf numFmtId="3" fontId="24" fillId="14" borderId="4" xfId="3" applyNumberFormat="1" applyFill="1" applyBorder="1" applyAlignment="1">
      <alignment horizontal="center" vertical="center"/>
    </xf>
    <xf numFmtId="3" fontId="24" fillId="14" borderId="3" xfId="3" applyNumberFormat="1" applyFill="1" applyBorder="1" applyAlignment="1">
      <alignment horizontal="center" vertical="center"/>
    </xf>
    <xf numFmtId="9" fontId="24" fillId="17" borderId="2" xfId="3" applyNumberFormat="1" applyFill="1" applyBorder="1" applyAlignment="1">
      <alignment horizontal="center"/>
    </xf>
    <xf numFmtId="9" fontId="24" fillId="17" borderId="4" xfId="3" applyNumberFormat="1" applyFill="1" applyBorder="1" applyAlignment="1">
      <alignment horizontal="center"/>
    </xf>
    <xf numFmtId="9" fontId="24" fillId="17" borderId="3" xfId="3" applyNumberFormat="1" applyFill="1" applyBorder="1" applyAlignment="1">
      <alignment horizontal="center"/>
    </xf>
    <xf numFmtId="0" fontId="23" fillId="46" borderId="2" xfId="3" applyFont="1" applyFill="1" applyBorder="1" applyAlignment="1">
      <alignment horizontal="center" vertical="center"/>
    </xf>
    <xf numFmtId="0" fontId="23" fillId="46" borderId="3" xfId="3" applyFont="1" applyFill="1" applyBorder="1" applyAlignment="1">
      <alignment horizontal="center" vertical="center"/>
    </xf>
    <xf numFmtId="0" fontId="23" fillId="40" borderId="1" xfId="3" applyFont="1" applyFill="1" applyBorder="1" applyAlignment="1">
      <alignment horizontal="center" vertical="center" wrapText="1"/>
    </xf>
    <xf numFmtId="0" fontId="23" fillId="38" borderId="1" xfId="3" applyFont="1" applyFill="1" applyBorder="1" applyAlignment="1">
      <alignment horizontal="center" vertical="center"/>
    </xf>
    <xf numFmtId="0" fontId="23" fillId="39" borderId="1" xfId="3" applyFont="1" applyFill="1" applyBorder="1" applyAlignment="1">
      <alignment horizontal="center" vertical="center"/>
    </xf>
    <xf numFmtId="0" fontId="56" fillId="10" borderId="2" xfId="3" applyFont="1" applyFill="1" applyBorder="1" applyAlignment="1">
      <alignment horizontal="center"/>
    </xf>
    <xf numFmtId="0" fontId="56" fillId="10" borderId="4" xfId="3" applyFont="1" applyFill="1" applyBorder="1" applyAlignment="1">
      <alignment horizontal="center"/>
    </xf>
    <xf numFmtId="0" fontId="56" fillId="10" borderId="3" xfId="3" applyFont="1" applyFill="1" applyBorder="1" applyAlignment="1">
      <alignment horizontal="center"/>
    </xf>
    <xf numFmtId="0" fontId="25" fillId="4" borderId="1" xfId="3" applyFont="1" applyFill="1" applyBorder="1" applyAlignment="1">
      <alignment horizontal="center" vertical="center" wrapText="1"/>
    </xf>
    <xf numFmtId="0" fontId="27" fillId="17" borderId="2" xfId="4" applyFont="1" applyFill="1" applyBorder="1" applyAlignment="1" applyProtection="1">
      <alignment horizontal="center" vertical="center" wrapText="1"/>
    </xf>
    <xf numFmtId="0" fontId="27" fillId="17" borderId="4" xfId="4" applyFont="1" applyFill="1" applyBorder="1" applyAlignment="1" applyProtection="1">
      <alignment horizontal="center" vertical="center" wrapText="1"/>
    </xf>
    <xf numFmtId="0" fontId="27" fillId="17" borderId="3" xfId="4" applyFont="1" applyFill="1" applyBorder="1" applyAlignment="1" applyProtection="1">
      <alignment horizontal="center" vertical="center" wrapText="1"/>
    </xf>
    <xf numFmtId="0" fontId="27" fillId="14" borderId="1" xfId="4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26" borderId="2" xfId="0" applyFont="1" applyFill="1" applyBorder="1" applyAlignment="1">
      <alignment horizontal="center" vertical="center"/>
    </xf>
    <xf numFmtId="0" fontId="3" fillId="26" borderId="3" xfId="0" applyFont="1" applyFill="1" applyBorder="1" applyAlignment="1">
      <alignment horizontal="center" vertical="center"/>
    </xf>
    <xf numFmtId="0" fontId="88" fillId="43" borderId="12" xfId="0" applyFont="1" applyFill="1" applyBorder="1" applyAlignment="1">
      <alignment horizontal="center"/>
    </xf>
    <xf numFmtId="0" fontId="0" fillId="43" borderId="12" xfId="0" applyFill="1" applyBorder="1" applyAlignment="1">
      <alignment horizontal="center"/>
    </xf>
    <xf numFmtId="0" fontId="28" fillId="30" borderId="0" xfId="3" applyFont="1" applyFill="1" applyAlignment="1">
      <alignment horizontal="center" vertical="center"/>
    </xf>
    <xf numFmtId="0" fontId="86" fillId="45" borderId="0" xfId="0" applyFont="1" applyFill="1" applyAlignment="1">
      <alignment horizontal="center"/>
    </xf>
    <xf numFmtId="0" fontId="86" fillId="36" borderId="0" xfId="0" applyFont="1" applyFill="1" applyAlignment="1">
      <alignment horizontal="center"/>
    </xf>
    <xf numFmtId="0" fontId="3" fillId="20" borderId="2" xfId="0" applyFont="1" applyFill="1" applyBorder="1" applyAlignment="1">
      <alignment horizontal="center" vertical="center" wrapText="1"/>
    </xf>
    <xf numFmtId="0" fontId="3" fillId="20" borderId="3" xfId="0" applyFont="1" applyFill="1" applyBorder="1" applyAlignment="1">
      <alignment horizontal="center" vertical="center" wrapText="1"/>
    </xf>
    <xf numFmtId="0" fontId="11" fillId="20" borderId="0" xfId="0" applyFont="1" applyFill="1" applyAlignment="1">
      <alignment horizontal="center" vertical="center"/>
    </xf>
    <xf numFmtId="0" fontId="65" fillId="20" borderId="0" xfId="0" applyFont="1" applyFill="1" applyAlignment="1">
      <alignment horizontal="center" vertical="center"/>
    </xf>
    <xf numFmtId="0" fontId="65" fillId="20" borderId="0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/>
    </xf>
    <xf numFmtId="0" fontId="3" fillId="16" borderId="10" xfId="0" applyFont="1" applyFill="1" applyBorder="1" applyAlignment="1">
      <alignment horizontal="center" vertical="center"/>
    </xf>
    <xf numFmtId="0" fontId="3" fillId="16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1" fillId="20" borderId="13" xfId="0" applyFont="1" applyFill="1" applyBorder="1" applyAlignment="1">
      <alignment horizontal="center" vertical="center"/>
    </xf>
    <xf numFmtId="0" fontId="11" fillId="20" borderId="14" xfId="0" applyFont="1" applyFill="1" applyBorder="1" applyAlignment="1">
      <alignment horizontal="center" vertical="center"/>
    </xf>
    <xf numFmtId="0" fontId="11" fillId="20" borderId="17" xfId="0" applyFont="1" applyFill="1" applyBorder="1" applyAlignment="1">
      <alignment horizontal="center" vertical="center"/>
    </xf>
    <xf numFmtId="0" fontId="11" fillId="20" borderId="0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 wrapText="1"/>
    </xf>
    <xf numFmtId="3" fontId="24" fillId="2" borderId="27" xfId="3" applyNumberFormat="1" applyFill="1" applyBorder="1" applyAlignment="1">
      <alignment horizontal="center" vertical="center"/>
    </xf>
    <xf numFmtId="3" fontId="24" fillId="2" borderId="1" xfId="3" applyNumberFormat="1" applyFill="1" applyBorder="1" applyAlignment="1">
      <alignment horizontal="center" vertical="center"/>
    </xf>
    <xf numFmtId="3" fontId="24" fillId="2" borderId="11" xfId="3" applyNumberFormat="1" applyFill="1" applyBorder="1" applyAlignment="1">
      <alignment horizontal="center" vertical="center"/>
    </xf>
    <xf numFmtId="3" fontId="24" fillId="2" borderId="26" xfId="3" applyNumberFormat="1" applyFill="1" applyBorder="1" applyAlignment="1">
      <alignment horizontal="center" vertical="center"/>
    </xf>
    <xf numFmtId="3" fontId="24" fillId="2" borderId="9" xfId="3" applyNumberFormat="1" applyFill="1" applyBorder="1" applyAlignment="1">
      <alignment horizontal="center" vertical="center"/>
    </xf>
    <xf numFmtId="3" fontId="24" fillId="2" borderId="28" xfId="3" applyNumberFormat="1" applyFill="1" applyBorder="1" applyAlignment="1">
      <alignment horizontal="center" vertical="center"/>
    </xf>
    <xf numFmtId="3" fontId="32" fillId="16" borderId="2" xfId="3" applyNumberFormat="1" applyFont="1" applyFill="1" applyBorder="1" applyAlignment="1">
      <alignment horizontal="center" vertical="center"/>
    </xf>
    <xf numFmtId="3" fontId="32" fillId="16" borderId="4" xfId="3" applyNumberFormat="1" applyFont="1" applyFill="1" applyBorder="1" applyAlignment="1">
      <alignment horizontal="center" vertical="center"/>
    </xf>
    <xf numFmtId="3" fontId="32" fillId="16" borderId="3" xfId="3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3" fontId="45" fillId="8" borderId="10" xfId="3" applyNumberFormat="1" applyFont="1" applyFill="1" applyBorder="1" applyAlignment="1">
      <alignment horizontal="center" vertical="top" wrapText="1"/>
    </xf>
    <xf numFmtId="3" fontId="45" fillId="8" borderId="10" xfId="3" applyNumberFormat="1" applyFont="1" applyFill="1" applyBorder="1" applyAlignment="1">
      <alignment horizontal="center" vertical="top"/>
    </xf>
    <xf numFmtId="3" fontId="32" fillId="20" borderId="2" xfId="3" applyNumberFormat="1" applyFont="1" applyFill="1" applyBorder="1" applyAlignment="1">
      <alignment horizontal="center" vertical="center"/>
    </xf>
    <xf numFmtId="3" fontId="32" fillId="20" borderId="4" xfId="3" applyNumberFormat="1" applyFont="1" applyFill="1" applyBorder="1" applyAlignment="1">
      <alignment horizontal="center" vertical="center"/>
    </xf>
    <xf numFmtId="3" fontId="32" fillId="20" borderId="3" xfId="3" applyNumberFormat="1" applyFont="1" applyFill="1" applyBorder="1" applyAlignment="1">
      <alignment horizontal="center" vertical="center"/>
    </xf>
    <xf numFmtId="3" fontId="52" fillId="16" borderId="25" xfId="3" applyNumberFormat="1" applyFont="1" applyFill="1" applyBorder="1" applyAlignment="1">
      <alignment horizontal="center" vertical="center"/>
    </xf>
    <xf numFmtId="3" fontId="52" fillId="16" borderId="8" xfId="3" applyNumberFormat="1" applyFont="1" applyFill="1" applyBorder="1" applyAlignment="1">
      <alignment horizontal="center" vertical="center"/>
    </xf>
    <xf numFmtId="3" fontId="52" fillId="20" borderId="12" xfId="3" applyNumberFormat="1" applyFont="1" applyFill="1" applyBorder="1" applyAlignment="1">
      <alignment horizontal="center" vertical="center"/>
    </xf>
    <xf numFmtId="3" fontId="52" fillId="20" borderId="0" xfId="3" applyNumberFormat="1" applyFont="1" applyFill="1" applyBorder="1" applyAlignment="1">
      <alignment horizontal="center" vertical="center"/>
    </xf>
    <xf numFmtId="3" fontId="42" fillId="16" borderId="11" xfId="3" applyNumberFormat="1" applyFont="1" applyFill="1" applyBorder="1" applyAlignment="1">
      <alignment horizontal="center" vertical="center"/>
    </xf>
    <xf numFmtId="3" fontId="42" fillId="16" borderId="14" xfId="3" applyNumberFormat="1" applyFont="1" applyFill="1" applyBorder="1" applyAlignment="1">
      <alignment horizontal="center" vertical="center"/>
    </xf>
    <xf numFmtId="3" fontId="32" fillId="16" borderId="1" xfId="3" applyNumberFormat="1" applyFont="1" applyFill="1" applyBorder="1" applyAlignment="1">
      <alignment horizontal="center" vertical="center"/>
    </xf>
    <xf numFmtId="3" fontId="42" fillId="16" borderId="1" xfId="3" applyNumberFormat="1" applyFont="1" applyFill="1" applyBorder="1" applyAlignment="1">
      <alignment horizontal="center" vertical="center" wrapText="1"/>
    </xf>
    <xf numFmtId="0" fontId="51" fillId="28" borderId="10" xfId="8" applyFont="1" applyFill="1" applyBorder="1" applyAlignment="1">
      <alignment horizontal="center" vertical="center"/>
    </xf>
    <xf numFmtId="0" fontId="51" fillId="28" borderId="25" xfId="9" applyFont="1" applyFill="1" applyBorder="1" applyAlignment="1">
      <alignment horizontal="center" vertical="center" wrapText="1"/>
    </xf>
    <xf numFmtId="0" fontId="51" fillId="28" borderId="16" xfId="9" applyFont="1" applyFill="1" applyBorder="1" applyAlignment="1">
      <alignment horizontal="center" vertical="center"/>
    </xf>
    <xf numFmtId="0" fontId="51" fillId="28" borderId="17" xfId="9" applyFont="1" applyFill="1" applyBorder="1" applyAlignment="1">
      <alignment horizontal="center" vertical="center"/>
    </xf>
    <xf numFmtId="0" fontId="51" fillId="28" borderId="13" xfId="9" applyFont="1" applyFill="1" applyBorder="1" applyAlignment="1">
      <alignment horizontal="center" vertical="center"/>
    </xf>
    <xf numFmtId="0" fontId="65" fillId="28" borderId="0" xfId="0" applyFont="1" applyFill="1" applyAlignment="1">
      <alignment horizontal="center" vertical="center"/>
    </xf>
    <xf numFmtId="0" fontId="5" fillId="28" borderId="10" xfId="0" applyFont="1" applyFill="1" applyBorder="1" applyAlignment="1">
      <alignment horizontal="center" vertical="center"/>
    </xf>
    <xf numFmtId="0" fontId="5" fillId="28" borderId="13" xfId="0" applyFont="1" applyFill="1" applyBorder="1" applyAlignment="1">
      <alignment horizontal="center" vertical="center"/>
    </xf>
    <xf numFmtId="0" fontId="72" fillId="32" borderId="0" xfId="11" applyFont="1" applyFill="1" applyBorder="1" applyAlignment="1">
      <alignment horizontal="center" vertical="center"/>
    </xf>
    <xf numFmtId="0" fontId="72" fillId="32" borderId="31" xfId="11" applyFont="1" applyFill="1" applyBorder="1" applyAlignment="1">
      <alignment horizontal="center" vertical="center"/>
    </xf>
    <xf numFmtId="0" fontId="72" fillId="32" borderId="0" xfId="11" applyFont="1" applyFill="1" applyAlignment="1">
      <alignment horizontal="center"/>
    </xf>
    <xf numFmtId="0" fontId="72" fillId="32" borderId="32" xfId="11" applyFont="1" applyFill="1" applyBorder="1" applyAlignment="1">
      <alignment horizontal="center"/>
    </xf>
    <xf numFmtId="0" fontId="72" fillId="32" borderId="0" xfId="11" applyFont="1" applyFill="1" applyBorder="1" applyAlignment="1">
      <alignment horizontal="center"/>
    </xf>
    <xf numFmtId="0" fontId="72" fillId="32" borderId="31" xfId="11" applyFont="1" applyFill="1" applyBorder="1" applyAlignment="1">
      <alignment horizontal="center"/>
    </xf>
    <xf numFmtId="0" fontId="71" fillId="32" borderId="32" xfId="11" applyFont="1" applyFill="1" applyBorder="1" applyAlignment="1">
      <alignment horizontal="center"/>
    </xf>
    <xf numFmtId="0" fontId="71" fillId="32" borderId="0" xfId="11" applyFont="1" applyFill="1" applyBorder="1" applyAlignment="1">
      <alignment horizontal="center"/>
    </xf>
    <xf numFmtId="0" fontId="73" fillId="33" borderId="0" xfId="11" applyFont="1" applyFill="1" applyAlignment="1">
      <alignment horizontal="center"/>
    </xf>
    <xf numFmtId="0" fontId="71" fillId="32" borderId="0" xfId="11" applyFont="1" applyFill="1" applyAlignment="1">
      <alignment horizontal="center"/>
    </xf>
    <xf numFmtId="0" fontId="72" fillId="32" borderId="0" xfId="11" applyFont="1" applyFill="1" applyAlignment="1">
      <alignment horizontal="center" vertical="center" wrapText="1"/>
    </xf>
    <xf numFmtId="0" fontId="69" fillId="12" borderId="0" xfId="11" applyFill="1" applyAlignment="1">
      <alignment horizontal="center"/>
    </xf>
    <xf numFmtId="0" fontId="70" fillId="13" borderId="0" xfId="11" applyFont="1" applyFill="1" applyAlignment="1">
      <alignment horizontal="left"/>
    </xf>
    <xf numFmtId="0" fontId="69" fillId="13" borderId="0" xfId="11" applyFill="1" applyAlignment="1">
      <alignment horizontal="left"/>
    </xf>
    <xf numFmtId="0" fontId="68" fillId="13" borderId="0" xfId="11" applyFont="1" applyFill="1" applyAlignment="1">
      <alignment horizontal="left"/>
    </xf>
    <xf numFmtId="0" fontId="69" fillId="13" borderId="0" xfId="11" applyFill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8">
    <cellStyle name="Euro" xfId="16" xr:uid="{B8452F69-6425-49B2-8B05-CDE92C46CEC2}"/>
    <cellStyle name="Insatisfaisant" xfId="6" builtinId="27"/>
    <cellStyle name="Lien hypertexte 2" xfId="4" xr:uid="{83760C35-A338-4753-9913-541B60E34080}"/>
    <cellStyle name="Milliers" xfId="13" builtinId="3"/>
    <cellStyle name="Milliers 3" xfId="14" xr:uid="{9156DD09-0831-47CB-A172-3768F0C7A4CE}"/>
    <cellStyle name="Monétaire 2" xfId="17" xr:uid="{30ACC17E-B222-42BF-BB0E-4C413AA94DAB}"/>
    <cellStyle name="Normal" xfId="0" builtinId="0"/>
    <cellStyle name="Normal 2" xfId="3" xr:uid="{23924D76-C8DD-4899-A357-11027B3FC925}"/>
    <cellStyle name="Normal 2 2" xfId="7" xr:uid="{0314A26C-CDA0-4126-A6C9-ED5FD4E0CB90}"/>
    <cellStyle name="Normal 2 3" xfId="9" xr:uid="{DB95F33E-14FC-40DE-A0B5-8D870001A644}"/>
    <cellStyle name="Normal 3" xfId="10" xr:uid="{EE3FC789-F629-4F34-A6E5-0896215F67DC}"/>
    <cellStyle name="Normal 4" xfId="8" xr:uid="{D1D3EB5D-6C67-40A5-8CC0-1A77D76D86B3}"/>
    <cellStyle name="Normal 5" xfId="11" xr:uid="{367F6407-F906-47F0-8770-E43239E353C3}"/>
    <cellStyle name="Normal 6" xfId="15" xr:uid="{E2D849B7-18CA-492E-9790-E4F020366F4C}"/>
    <cellStyle name="Normal_EVOLEDF" xfId="2" xr:uid="{EEEAD9FC-4EE8-45DA-A29C-F17344F1319C}"/>
    <cellStyle name="Pourcentage" xfId="1" builtinId="5"/>
    <cellStyle name="Pourcentage 2" xfId="5" xr:uid="{89C6BAC7-7340-4EE7-A7F5-683376497B8C}"/>
    <cellStyle name="Pourcentage 3" xfId="12" xr:uid="{167E7385-3787-4EFC-90D5-9F269AB38BCD}"/>
  </cellStyles>
  <dxfs count="61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249977111117893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249977111117893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249977111117893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249977111117893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249977111117893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249977111117893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249977111117893"/>
        <name val="Calibri"/>
        <family val="2"/>
        <scheme val="minor"/>
      </font>
      <numFmt numFmtId="19" formatCode="dd/mm/yyyy"/>
      <fill>
        <patternFill patternType="solid">
          <fgColor indexed="64"/>
          <bgColor indexed="1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249977111117893"/>
        <name val="Calibri"/>
        <family val="2"/>
        <scheme val="min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249977111117893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4" formatCode="#,##0.00"/>
      <fill>
        <patternFill patternType="solid">
          <fgColor indexed="64"/>
          <bgColor theme="9" tint="-0.249977111117893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4" formatCode="#,##0.00"/>
      <fill>
        <patternFill patternType="solid">
          <fgColor indexed="64"/>
          <bgColor theme="9" tint="-0.249977111117893"/>
        </patternFill>
      </fill>
    </dxf>
    <dxf>
      <numFmt numFmtId="4" formatCode="#,##0.00"/>
    </dxf>
    <dxf>
      <numFmt numFmtId="4" formatCode="#,##0.00"/>
    </dxf>
    <dxf>
      <numFmt numFmtId="2" formatCode="0.00"/>
    </dxf>
    <dxf>
      <numFmt numFmtId="4" formatCode="#,##0.00"/>
    </dxf>
    <dxf>
      <numFmt numFmtId="2" formatCode="0.00"/>
    </dxf>
    <dxf>
      <numFmt numFmtId="4" formatCode="#,##0.00"/>
    </dxf>
    <dxf>
      <numFmt numFmtId="2" formatCode="0.00"/>
    </dxf>
    <dxf>
      <numFmt numFmtId="4" formatCode="#,##0.00"/>
    </dxf>
    <dxf>
      <numFmt numFmtId="2" formatCode="0.00"/>
    </dxf>
    <dxf>
      <numFmt numFmtId="4" formatCode="#,##0.00"/>
    </dxf>
    <dxf>
      <numFmt numFmtId="2" formatCode="0.00"/>
    </dxf>
    <dxf>
      <numFmt numFmtId="4" formatCode="#,##0.00"/>
    </dxf>
    <dxf>
      <numFmt numFmtId="2" formatCode="0.00"/>
    </dxf>
    <dxf>
      <numFmt numFmtId="4" formatCode="#,##0.00"/>
    </dxf>
    <dxf>
      <numFmt numFmtId="2" formatCode="0.00"/>
    </dxf>
    <dxf>
      <numFmt numFmtId="4" formatCode="#,##0.00"/>
    </dxf>
    <dxf>
      <numFmt numFmtId="2" formatCode="0.00"/>
    </dxf>
    <dxf>
      <numFmt numFmtId="4" formatCode="#,##0.00"/>
    </dxf>
    <dxf>
      <numFmt numFmtId="2" formatCode="0.00"/>
    </dxf>
    <dxf>
      <numFmt numFmtId="4" formatCode="#,##0.00"/>
    </dxf>
    <dxf>
      <numFmt numFmtId="2" formatCode="0.00"/>
    </dxf>
    <dxf>
      <numFmt numFmtId="4" formatCode="#,##0.00"/>
    </dxf>
    <dxf>
      <numFmt numFmtId="2" formatCode="0.00"/>
    </dxf>
    <dxf>
      <numFmt numFmtId="4" formatCode="#,##0.00"/>
    </dxf>
    <dxf>
      <numFmt numFmtId="2" formatCode="0.00"/>
    </dxf>
    <dxf>
      <numFmt numFmtId="4" formatCode="#,##0.0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4" formatCode="#,##0.00"/>
      <fill>
        <patternFill patternType="solid">
          <fgColor indexed="64"/>
          <bgColor theme="9" tint="-0.249977111117893"/>
        </patternFill>
      </fill>
    </dxf>
    <dxf>
      <font>
        <color theme="0"/>
      </font>
      <numFmt numFmtId="4" formatCode="#,##0.00"/>
      <fill>
        <patternFill patternType="solid">
          <fgColor indexed="64"/>
          <bgColor theme="9" tint="-0.249977111117893"/>
        </patternFill>
      </fill>
    </dxf>
    <dxf>
      <numFmt numFmtId="3" formatCode="#,##0"/>
    </dxf>
    <dxf>
      <font>
        <b/>
      </font>
    </dxf>
  </dxfs>
  <tableStyles count="0" defaultTableStyle="TableStyleMedium2" defaultPivotStyle="PivotStyleLight16"/>
  <colors>
    <mruColors>
      <color rgb="FFFF0000"/>
      <color rgb="FFC672FA"/>
      <color rgb="FF3A298F"/>
      <color rgb="FF4E37BF"/>
      <color rgb="FFFFD85D"/>
      <color rgb="FFFF8F8F"/>
      <color rgb="FFDDAAFC"/>
      <color rgb="FFFF5B5B"/>
      <color rgb="FFE0DDD6"/>
      <color rgb="FFC2BD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283805055670244E-2"/>
          <c:y val="0.13592229161257588"/>
          <c:w val="0.91404350081902064"/>
          <c:h val="0.74814043321514279"/>
        </c:manualLayout>
      </c:layout>
      <c:areaChart>
        <c:grouping val="standard"/>
        <c:varyColors val="0"/>
        <c:ser>
          <c:idx val="5"/>
          <c:order val="5"/>
          <c:tx>
            <c:strRef>
              <c:f>'Resultats &amp; Analyse'!$B$97</c:f>
              <c:strCache>
                <c:ptCount val="1"/>
                <c:pt idx="0">
                  <c:v>Total (CO2eq)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val>
            <c:numRef>
              <c:f>'Resultats &amp; Analyse'!$C$97:$N$97</c:f>
              <c:numCache>
                <c:formatCode>_-* #\ ##0_-;\-* #\ ##0_-;_-* "-"??_-;_-@_-</c:formatCode>
                <c:ptCount val="12"/>
                <c:pt idx="0">
                  <c:v>12053.022975716949</c:v>
                </c:pt>
                <c:pt idx="1">
                  <c:v>12885.484513693766</c:v>
                </c:pt>
                <c:pt idx="2">
                  <c:v>11478.435073822679</c:v>
                </c:pt>
                <c:pt idx="3">
                  <c:v>12049.024507834585</c:v>
                </c:pt>
                <c:pt idx="4">
                  <c:v>12650.350119138768</c:v>
                </c:pt>
                <c:pt idx="5">
                  <c:v>11014.760355393912</c:v>
                </c:pt>
                <c:pt idx="6">
                  <c:v>11184.930461538048</c:v>
                </c:pt>
                <c:pt idx="7">
                  <c:v>11209.706009060063</c:v>
                </c:pt>
                <c:pt idx="8">
                  <c:v>8967.6157048792375</c:v>
                </c:pt>
                <c:pt idx="9">
                  <c:v>8742.76141722176</c:v>
                </c:pt>
                <c:pt idx="10">
                  <c:v>8756.3445771184943</c:v>
                </c:pt>
                <c:pt idx="11">
                  <c:v>7672.1509445203837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AB-AE41-8169-5E316DF87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2320"/>
        <c:axId val="18974960"/>
      </c:areaChart>
      <c:lineChart>
        <c:grouping val="standard"/>
        <c:varyColors val="0"/>
        <c:ser>
          <c:idx val="0"/>
          <c:order val="0"/>
          <c:tx>
            <c:strRef>
              <c:f>'Resultats &amp; Analyse'!$B$58</c:f>
              <c:strCache>
                <c:ptCount val="1"/>
                <c:pt idx="0">
                  <c:v>Energie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'Resultats &amp; Analyse'!$C$57:$N$57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'Resultats &amp; Analyse'!$C$58:$N$58</c:f>
              <c:numCache>
                <c:formatCode>0</c:formatCode>
                <c:ptCount val="12"/>
                <c:pt idx="0">
                  <c:v>6411.852473500001</c:v>
                </c:pt>
                <c:pt idx="1">
                  <c:v>7131.7363694999995</c:v>
                </c:pt>
                <c:pt idx="2">
                  <c:v>5739.3269329999994</c:v>
                </c:pt>
                <c:pt idx="3">
                  <c:v>6137.3265564999992</c:v>
                </c:pt>
                <c:pt idx="4">
                  <c:v>6778.9778315999993</c:v>
                </c:pt>
                <c:pt idx="5">
                  <c:v>5102.5928294000005</c:v>
                </c:pt>
                <c:pt idx="6">
                  <c:v>5464.6653710000001</c:v>
                </c:pt>
                <c:pt idx="7">
                  <c:v>5452.9247589000015</c:v>
                </c:pt>
                <c:pt idx="8">
                  <c:v>3079.5966527660003</c:v>
                </c:pt>
                <c:pt idx="9">
                  <c:v>2857.1826021705001</c:v>
                </c:pt>
                <c:pt idx="10">
                  <c:v>2993.2437906670002</c:v>
                </c:pt>
                <c:pt idx="11">
                  <c:v>2480.2603791000006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E-CD4D-A3A1-89735FCE5DAF}"/>
            </c:ext>
          </c:extLst>
        </c:ser>
        <c:ser>
          <c:idx val="1"/>
          <c:order val="1"/>
          <c:tx>
            <c:strRef>
              <c:f>'Resultats &amp; Analyse'!$B$64</c:f>
              <c:strCache>
                <c:ptCount val="1"/>
                <c:pt idx="0">
                  <c:v>Immobilisation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'Resultats &amp; Analyse'!$C$57:$N$57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'Resultats &amp; Analyse'!$C$64:$N$64</c:f>
              <c:numCache>
                <c:formatCode>0</c:formatCode>
                <c:ptCount val="12"/>
                <c:pt idx="0">
                  <c:v>1353.3686695085257</c:v>
                </c:pt>
                <c:pt idx="1">
                  <c:v>1357.9453715551369</c:v>
                </c:pt>
                <c:pt idx="2">
                  <c:v>1354.5127029401733</c:v>
                </c:pt>
                <c:pt idx="3">
                  <c:v>1380.5399910589892</c:v>
                </c:pt>
                <c:pt idx="4">
                  <c:v>1376.3888692452406</c:v>
                </c:pt>
                <c:pt idx="5">
                  <c:v>1379.064135711717</c:v>
                </c:pt>
                <c:pt idx="6">
                  <c:v>1373.5247059989272</c:v>
                </c:pt>
                <c:pt idx="7">
                  <c:v>1385.2010395078144</c:v>
                </c:pt>
                <c:pt idx="8">
                  <c:v>1393.2927847803251</c:v>
                </c:pt>
                <c:pt idx="9">
                  <c:v>1370.478205199069</c:v>
                </c:pt>
                <c:pt idx="10">
                  <c:v>1372.5770756666666</c:v>
                </c:pt>
                <c:pt idx="11">
                  <c:v>1373.7424645555554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E-CD4D-A3A1-89735FCE5DAF}"/>
            </c:ext>
          </c:extLst>
        </c:ser>
        <c:ser>
          <c:idx val="2"/>
          <c:order val="2"/>
          <c:tx>
            <c:strRef>
              <c:f>'Resultats &amp; Analyse'!$B$71</c:f>
              <c:strCache>
                <c:ptCount val="1"/>
                <c:pt idx="0">
                  <c:v>Déplacements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'Resultats &amp; Analyse'!$C$57:$N$57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'Resultats &amp; Analyse'!$C$71:$N$71</c:f>
              <c:numCache>
                <c:formatCode>0</c:formatCode>
                <c:ptCount val="12"/>
                <c:pt idx="0">
                  <c:v>2967.3362167084242</c:v>
                </c:pt>
                <c:pt idx="1">
                  <c:v>3005.8166204529148</c:v>
                </c:pt>
                <c:pt idx="2">
                  <c:v>3007.0648137988342</c:v>
                </c:pt>
                <c:pt idx="3">
                  <c:v>3142.2657516898821</c:v>
                </c:pt>
                <c:pt idx="4">
                  <c:v>3118.5684310078132</c:v>
                </c:pt>
                <c:pt idx="5">
                  <c:v>3159.5671930250514</c:v>
                </c:pt>
                <c:pt idx="6">
                  <c:v>3152.0421546819784</c:v>
                </c:pt>
                <c:pt idx="7">
                  <c:v>3210.8530427379619</c:v>
                </c:pt>
                <c:pt idx="8">
                  <c:v>3276.0288834829121</c:v>
                </c:pt>
                <c:pt idx="9">
                  <c:v>3298.6221036621905</c:v>
                </c:pt>
                <c:pt idx="10">
                  <c:v>3302.7623533148285</c:v>
                </c:pt>
                <c:pt idx="11">
                  <c:v>3302.7623533148285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2E-CD4D-A3A1-89735FCE5DAF}"/>
            </c:ext>
          </c:extLst>
        </c:ser>
        <c:ser>
          <c:idx val="3"/>
          <c:order val="3"/>
          <c:tx>
            <c:strRef>
              <c:f>'Resultats &amp; Analyse'!$B$76</c:f>
              <c:strCache>
                <c:ptCount val="1"/>
                <c:pt idx="0">
                  <c:v>Alimentation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'Resultats &amp; Analyse'!$C$57:$N$57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'Resultats &amp; Analyse'!$C$76:$N$76</c:f>
              <c:numCache>
                <c:formatCode>0</c:formatCode>
                <c:ptCount val="12"/>
                <c:pt idx="0">
                  <c:v>1265.914084</c:v>
                </c:pt>
                <c:pt idx="1">
                  <c:v>1265.914084</c:v>
                </c:pt>
                <c:pt idx="2">
                  <c:v>1265.914084</c:v>
                </c:pt>
                <c:pt idx="3">
                  <c:v>1265.914084</c:v>
                </c:pt>
                <c:pt idx="4">
                  <c:v>1265.914084</c:v>
                </c:pt>
                <c:pt idx="5">
                  <c:v>1265.914084</c:v>
                </c:pt>
                <c:pt idx="6">
                  <c:v>1055.9753800000001</c:v>
                </c:pt>
                <c:pt idx="7">
                  <c:v>1017.52931</c:v>
                </c:pt>
                <c:pt idx="8">
                  <c:v>1055.11113</c:v>
                </c:pt>
                <c:pt idx="9">
                  <c:v>1075.79249</c:v>
                </c:pt>
                <c:pt idx="10">
                  <c:v>972.54480000000001</c:v>
                </c:pt>
                <c:pt idx="11">
                  <c:v>454.22615999999999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2E-CD4D-A3A1-89735FCE5DAF}"/>
            </c:ext>
          </c:extLst>
        </c:ser>
        <c:ser>
          <c:idx val="4"/>
          <c:order val="4"/>
          <c:tx>
            <c:strRef>
              <c:f>'Resultats &amp; Analyse'!$B$82</c:f>
              <c:strCache>
                <c:ptCount val="1"/>
                <c:pt idx="0">
                  <c:v>Déchets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'Resultats &amp; Analyse'!$C$57:$N$57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'Resultats &amp; Analyse'!$C$82:$N$82</c:f>
              <c:numCache>
                <c:formatCode>0</c:formatCode>
                <c:ptCount val="12"/>
                <c:pt idx="0">
                  <c:v>54.551532000000002</c:v>
                </c:pt>
                <c:pt idx="1">
                  <c:v>124.07206818571427</c:v>
                </c:pt>
                <c:pt idx="2">
                  <c:v>111.61654008367347</c:v>
                </c:pt>
                <c:pt idx="3">
                  <c:v>122.97812458571427</c:v>
                </c:pt>
                <c:pt idx="4">
                  <c:v>110.5009032857143</c:v>
                </c:pt>
                <c:pt idx="5">
                  <c:v>107.62211325714286</c:v>
                </c:pt>
                <c:pt idx="6">
                  <c:v>138.72284985714282</c:v>
                </c:pt>
                <c:pt idx="7">
                  <c:v>143.19785791428569</c:v>
                </c:pt>
                <c:pt idx="8">
                  <c:v>163.58625385000002</c:v>
                </c:pt>
                <c:pt idx="9">
                  <c:v>140.68601618999998</c:v>
                </c:pt>
                <c:pt idx="10">
                  <c:v>115.21655747</c:v>
                </c:pt>
                <c:pt idx="11">
                  <c:v>61.159587549999998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2E-CD4D-A3A1-89735FCE5DAF}"/>
            </c:ext>
          </c:extLst>
        </c:ser>
        <c:ser>
          <c:idx val="6"/>
          <c:order val="6"/>
          <c:tx>
            <c:strRef>
              <c:f>'Resultats &amp; Analyse'!$B$54</c:f>
              <c:strCache>
                <c:ptCount val="1"/>
                <c:pt idx="0">
                  <c:v>Effectifs étudiants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'Resultats &amp; Analyse'!$C$54:$N$54</c:f>
              <c:numCache>
                <c:formatCode>#,##0</c:formatCode>
                <c:ptCount val="12"/>
                <c:pt idx="0">
                  <c:v>5482</c:v>
                </c:pt>
                <c:pt idx="1">
                  <c:v>5547</c:v>
                </c:pt>
                <c:pt idx="2">
                  <c:v>5595</c:v>
                </c:pt>
                <c:pt idx="3">
                  <c:v>5701</c:v>
                </c:pt>
                <c:pt idx="4">
                  <c:v>5679</c:v>
                </c:pt>
                <c:pt idx="5">
                  <c:v>5760</c:v>
                </c:pt>
                <c:pt idx="6">
                  <c:v>5794</c:v>
                </c:pt>
                <c:pt idx="7">
                  <c:v>5937</c:v>
                </c:pt>
                <c:pt idx="8">
                  <c:v>6036</c:v>
                </c:pt>
                <c:pt idx="9">
                  <c:v>6122</c:v>
                </c:pt>
                <c:pt idx="10">
                  <c:v>6133</c:v>
                </c:pt>
                <c:pt idx="11">
                  <c:v>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AB-AE41-8169-5E316DF87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684191"/>
        <c:axId val="554672783"/>
      </c:lineChart>
      <c:catAx>
        <c:axId val="554684191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4672783"/>
        <c:crosses val="autoZero"/>
        <c:auto val="1"/>
        <c:lblAlgn val="ctr"/>
        <c:lblOffset val="100"/>
        <c:noMultiLvlLbl val="0"/>
      </c:catAx>
      <c:valAx>
        <c:axId val="55467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4684191"/>
        <c:crosses val="autoZero"/>
        <c:crossBetween val="between"/>
      </c:valAx>
      <c:valAx>
        <c:axId val="18974960"/>
        <c:scaling>
          <c:orientation val="minMax"/>
          <c:min val="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2320"/>
        <c:crosses val="max"/>
        <c:crossBetween val="between"/>
      </c:valAx>
      <c:catAx>
        <c:axId val="21032320"/>
        <c:scaling>
          <c:orientation val="minMax"/>
        </c:scaling>
        <c:delete val="1"/>
        <c:axPos val="b"/>
        <c:majorTickMark val="out"/>
        <c:minorTickMark val="none"/>
        <c:tickLblPos val="nextTo"/>
        <c:crossAx val="18974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principaux postes de GES - en</a:t>
            </a:r>
            <a:r>
              <a:rPr lang="fr-FR" baseline="0"/>
              <a:t> cumulé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'Resultats &amp; Analyse'!$B$58</c:f>
              <c:strCache>
                <c:ptCount val="1"/>
                <c:pt idx="0">
                  <c:v>Energie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'Resultats &amp; Analyse'!$C$57:$M$57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'Resultats &amp; Analyse'!$C$58:$N$58</c:f>
              <c:numCache>
                <c:formatCode>0</c:formatCode>
                <c:ptCount val="12"/>
                <c:pt idx="0">
                  <c:v>6411.852473500001</c:v>
                </c:pt>
                <c:pt idx="1">
                  <c:v>7131.7363694999995</c:v>
                </c:pt>
                <c:pt idx="2">
                  <c:v>5739.3269329999994</c:v>
                </c:pt>
                <c:pt idx="3">
                  <c:v>6137.3265564999992</c:v>
                </c:pt>
                <c:pt idx="4">
                  <c:v>6778.9778315999993</c:v>
                </c:pt>
                <c:pt idx="5">
                  <c:v>5102.5928294000005</c:v>
                </c:pt>
                <c:pt idx="6">
                  <c:v>5464.6653710000001</c:v>
                </c:pt>
                <c:pt idx="7">
                  <c:v>5452.9247589000015</c:v>
                </c:pt>
                <c:pt idx="8">
                  <c:v>3079.5966527660003</c:v>
                </c:pt>
                <c:pt idx="9">
                  <c:v>2857.1826021705001</c:v>
                </c:pt>
                <c:pt idx="10">
                  <c:v>2993.2437906670002</c:v>
                </c:pt>
                <c:pt idx="11">
                  <c:v>2480.2603791000006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D-7C4F-A51F-97EE8A6A6E92}"/>
            </c:ext>
          </c:extLst>
        </c:ser>
        <c:ser>
          <c:idx val="1"/>
          <c:order val="1"/>
          <c:tx>
            <c:strRef>
              <c:f>'Resultats &amp; Analyse'!$B$64</c:f>
              <c:strCache>
                <c:ptCount val="1"/>
                <c:pt idx="0">
                  <c:v>Immobilisation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'Resultats &amp; Analyse'!$C$57:$M$57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'Resultats &amp; Analyse'!$C$64:$N$64</c:f>
              <c:numCache>
                <c:formatCode>0</c:formatCode>
                <c:ptCount val="12"/>
                <c:pt idx="0">
                  <c:v>1353.3686695085257</c:v>
                </c:pt>
                <c:pt idx="1">
                  <c:v>1357.9453715551369</c:v>
                </c:pt>
                <c:pt idx="2">
                  <c:v>1354.5127029401733</c:v>
                </c:pt>
                <c:pt idx="3">
                  <c:v>1380.5399910589892</c:v>
                </c:pt>
                <c:pt idx="4">
                  <c:v>1376.3888692452406</c:v>
                </c:pt>
                <c:pt idx="5">
                  <c:v>1379.064135711717</c:v>
                </c:pt>
                <c:pt idx="6">
                  <c:v>1373.5247059989272</c:v>
                </c:pt>
                <c:pt idx="7">
                  <c:v>1385.2010395078144</c:v>
                </c:pt>
                <c:pt idx="8">
                  <c:v>1393.2927847803251</c:v>
                </c:pt>
                <c:pt idx="9">
                  <c:v>1370.478205199069</c:v>
                </c:pt>
                <c:pt idx="10">
                  <c:v>1372.5770756666666</c:v>
                </c:pt>
                <c:pt idx="11">
                  <c:v>1373.7424645555554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D-7C4F-A51F-97EE8A6A6E92}"/>
            </c:ext>
          </c:extLst>
        </c:ser>
        <c:ser>
          <c:idx val="2"/>
          <c:order val="2"/>
          <c:tx>
            <c:strRef>
              <c:f>'Resultats &amp; Analyse'!$B$71</c:f>
              <c:strCache>
                <c:ptCount val="1"/>
                <c:pt idx="0">
                  <c:v>Déplacements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'Resultats &amp; Analyse'!$C$57:$M$57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'Resultats &amp; Analyse'!$C$71:$N$71</c:f>
              <c:numCache>
                <c:formatCode>0</c:formatCode>
                <c:ptCount val="12"/>
                <c:pt idx="0">
                  <c:v>2967.3362167084242</c:v>
                </c:pt>
                <c:pt idx="1">
                  <c:v>3005.8166204529148</c:v>
                </c:pt>
                <c:pt idx="2">
                  <c:v>3007.0648137988342</c:v>
                </c:pt>
                <c:pt idx="3">
                  <c:v>3142.2657516898821</c:v>
                </c:pt>
                <c:pt idx="4">
                  <c:v>3118.5684310078132</c:v>
                </c:pt>
                <c:pt idx="5">
                  <c:v>3159.5671930250514</c:v>
                </c:pt>
                <c:pt idx="6">
                  <c:v>3152.0421546819784</c:v>
                </c:pt>
                <c:pt idx="7">
                  <c:v>3210.8530427379619</c:v>
                </c:pt>
                <c:pt idx="8">
                  <c:v>3276.0288834829121</c:v>
                </c:pt>
                <c:pt idx="9">
                  <c:v>3298.6221036621905</c:v>
                </c:pt>
                <c:pt idx="10">
                  <c:v>3302.7623533148285</c:v>
                </c:pt>
                <c:pt idx="11">
                  <c:v>3302.7623533148285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D-7C4F-A51F-97EE8A6A6E92}"/>
            </c:ext>
          </c:extLst>
        </c:ser>
        <c:ser>
          <c:idx val="3"/>
          <c:order val="3"/>
          <c:tx>
            <c:strRef>
              <c:f>'Resultats &amp; Analyse'!$B$76</c:f>
              <c:strCache>
                <c:ptCount val="1"/>
                <c:pt idx="0">
                  <c:v>Alimentation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'Resultats &amp; Analyse'!$C$57:$M$57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'Resultats &amp; Analyse'!$C$76:$N$76</c:f>
              <c:numCache>
                <c:formatCode>0</c:formatCode>
                <c:ptCount val="12"/>
                <c:pt idx="0">
                  <c:v>1265.914084</c:v>
                </c:pt>
                <c:pt idx="1">
                  <c:v>1265.914084</c:v>
                </c:pt>
                <c:pt idx="2">
                  <c:v>1265.914084</c:v>
                </c:pt>
                <c:pt idx="3">
                  <c:v>1265.914084</c:v>
                </c:pt>
                <c:pt idx="4">
                  <c:v>1265.914084</c:v>
                </c:pt>
                <c:pt idx="5">
                  <c:v>1265.914084</c:v>
                </c:pt>
                <c:pt idx="6">
                  <c:v>1055.9753800000001</c:v>
                </c:pt>
                <c:pt idx="7">
                  <c:v>1017.52931</c:v>
                </c:pt>
                <c:pt idx="8">
                  <c:v>1055.11113</c:v>
                </c:pt>
                <c:pt idx="9">
                  <c:v>1075.79249</c:v>
                </c:pt>
                <c:pt idx="10">
                  <c:v>972.54480000000001</c:v>
                </c:pt>
                <c:pt idx="11">
                  <c:v>454.22615999999999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9D-7C4F-A51F-97EE8A6A6E92}"/>
            </c:ext>
          </c:extLst>
        </c:ser>
        <c:ser>
          <c:idx val="4"/>
          <c:order val="4"/>
          <c:tx>
            <c:strRef>
              <c:f>'Resultats &amp; Analyse'!$B$82</c:f>
              <c:strCache>
                <c:ptCount val="1"/>
                <c:pt idx="0">
                  <c:v>Déchets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'Resultats &amp; Analyse'!$C$57:$M$57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'Resultats &amp; Analyse'!$C$82:$N$82</c:f>
              <c:numCache>
                <c:formatCode>0</c:formatCode>
                <c:ptCount val="12"/>
                <c:pt idx="0">
                  <c:v>54.551532000000002</c:v>
                </c:pt>
                <c:pt idx="1">
                  <c:v>124.07206818571427</c:v>
                </c:pt>
                <c:pt idx="2">
                  <c:v>111.61654008367347</c:v>
                </c:pt>
                <c:pt idx="3">
                  <c:v>122.97812458571427</c:v>
                </c:pt>
                <c:pt idx="4">
                  <c:v>110.5009032857143</c:v>
                </c:pt>
                <c:pt idx="5">
                  <c:v>107.62211325714286</c:v>
                </c:pt>
                <c:pt idx="6">
                  <c:v>138.72284985714282</c:v>
                </c:pt>
                <c:pt idx="7">
                  <c:v>143.19785791428569</c:v>
                </c:pt>
                <c:pt idx="8">
                  <c:v>163.58625385000002</c:v>
                </c:pt>
                <c:pt idx="9">
                  <c:v>140.68601618999998</c:v>
                </c:pt>
                <c:pt idx="10">
                  <c:v>115.21655747</c:v>
                </c:pt>
                <c:pt idx="11">
                  <c:v>61.159587549999998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9D-7C4F-A51F-97EE8A6A6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684191"/>
        <c:axId val="554672783"/>
      </c:areaChart>
      <c:catAx>
        <c:axId val="554684191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4672783"/>
        <c:crosses val="autoZero"/>
        <c:auto val="1"/>
        <c:lblAlgn val="ctr"/>
        <c:lblOffset val="100"/>
        <c:noMultiLvlLbl val="0"/>
      </c:catAx>
      <c:valAx>
        <c:axId val="55467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46841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émissions de GES,</a:t>
            </a:r>
            <a:r>
              <a:rPr lang="fr-FR" baseline="0"/>
              <a:t> par étudiant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'Resultats &amp; Analyse'!$B$101</c:f>
              <c:strCache>
                <c:ptCount val="1"/>
                <c:pt idx="0">
                  <c:v>Energie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'Resultats &amp; Analyse'!$C$57:$N$57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'Resultats &amp; Analyse'!$C$101:$N$101</c:f>
              <c:numCache>
                <c:formatCode>#,##0.00</c:formatCode>
                <c:ptCount val="12"/>
                <c:pt idx="0">
                  <c:v>1.16961920348413</c:v>
                </c:pt>
                <c:pt idx="1">
                  <c:v>1.285692512979989</c:v>
                </c:pt>
                <c:pt idx="2">
                  <c:v>1.0257956984807863</c:v>
                </c:pt>
                <c:pt idx="3">
                  <c:v>1.0765350914751797</c:v>
                </c:pt>
                <c:pt idx="4">
                  <c:v>1.19369216967776</c:v>
                </c:pt>
                <c:pt idx="5">
                  <c:v>0.88586681065972228</c:v>
                </c:pt>
                <c:pt idx="6">
                  <c:v>0.94315936675871592</c:v>
                </c:pt>
                <c:pt idx="7">
                  <c:v>0.91846467220818617</c:v>
                </c:pt>
                <c:pt idx="8">
                  <c:v>0.51020487951723004</c:v>
                </c:pt>
                <c:pt idx="9">
                  <c:v>0.46670738356264296</c:v>
                </c:pt>
                <c:pt idx="10">
                  <c:v>0.48805540366329697</c:v>
                </c:pt>
                <c:pt idx="11">
                  <c:v>0.40441225812815923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2-CA45-81B9-D0F247899F6A}"/>
            </c:ext>
          </c:extLst>
        </c:ser>
        <c:ser>
          <c:idx val="1"/>
          <c:order val="1"/>
          <c:tx>
            <c:strRef>
              <c:f>'Resultats &amp; Analyse'!$B$102</c:f>
              <c:strCache>
                <c:ptCount val="1"/>
                <c:pt idx="0">
                  <c:v>Immobilisation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'Resultats &amp; Analyse'!$C$57:$N$57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'Resultats &amp; Analyse'!$C$102:$N$102</c:f>
              <c:numCache>
                <c:formatCode>#,##0.00</c:formatCode>
                <c:ptCount val="12"/>
                <c:pt idx="0">
                  <c:v>0.24687498531713348</c:v>
                </c:pt>
                <c:pt idx="1">
                  <c:v>0.24480716992160392</c:v>
                </c:pt>
                <c:pt idx="2">
                  <c:v>0.24209342322433838</c:v>
                </c:pt>
                <c:pt idx="3">
                  <c:v>0.24215751465690041</c:v>
                </c:pt>
                <c:pt idx="4">
                  <c:v>0.24236465385547465</c:v>
                </c:pt>
                <c:pt idx="5">
                  <c:v>0.2394208568943953</c:v>
                </c:pt>
                <c:pt idx="6">
                  <c:v>0.23705983879857218</c:v>
                </c:pt>
                <c:pt idx="7">
                  <c:v>0.23331666489941288</c:v>
                </c:pt>
                <c:pt idx="8">
                  <c:v>0.23083048124259858</c:v>
                </c:pt>
                <c:pt idx="9">
                  <c:v>0.22386119000311483</c:v>
                </c:pt>
                <c:pt idx="10">
                  <c:v>0.22380190374476872</c:v>
                </c:pt>
                <c:pt idx="11">
                  <c:v>0.22399192312988023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2-CA45-81B9-D0F247899F6A}"/>
            </c:ext>
          </c:extLst>
        </c:ser>
        <c:ser>
          <c:idx val="2"/>
          <c:order val="2"/>
          <c:tx>
            <c:strRef>
              <c:f>'Resultats &amp; Analyse'!$B$103</c:f>
              <c:strCache>
                <c:ptCount val="1"/>
                <c:pt idx="0">
                  <c:v>Déplacements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'Resultats &amp; Analyse'!$C$57:$N$57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'Resultats &amp; Analyse'!$C$103:$N$103</c:f>
              <c:numCache>
                <c:formatCode>#,##0.00</c:formatCode>
                <c:ptCount val="12"/>
                <c:pt idx="0">
                  <c:v>0.54128716101941343</c:v>
                </c:pt>
                <c:pt idx="1">
                  <c:v>0.5418814891748539</c:v>
                </c:pt>
                <c:pt idx="2">
                  <c:v>0.53745573079514464</c:v>
                </c:pt>
                <c:pt idx="3">
                  <c:v>0.55117799538499945</c:v>
                </c:pt>
                <c:pt idx="4">
                  <c:v>0.5491404175044573</c:v>
                </c:pt>
                <c:pt idx="5">
                  <c:v>0.5485359710112937</c:v>
                </c:pt>
                <c:pt idx="6">
                  <c:v>0.54401832148463558</c:v>
                </c:pt>
                <c:pt idx="7">
                  <c:v>0.54082079210678158</c:v>
                </c:pt>
                <c:pt idx="8">
                  <c:v>0.54274832396999872</c:v>
                </c:pt>
                <c:pt idx="9">
                  <c:v>0.53881445665831273</c:v>
                </c:pt>
                <c:pt idx="10">
                  <c:v>0.53852312951489134</c:v>
                </c:pt>
                <c:pt idx="11">
                  <c:v>0.53852312951489134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72-CA45-81B9-D0F247899F6A}"/>
            </c:ext>
          </c:extLst>
        </c:ser>
        <c:ser>
          <c:idx val="3"/>
          <c:order val="3"/>
          <c:tx>
            <c:strRef>
              <c:f>'Resultats &amp; Analyse'!$B$104</c:f>
              <c:strCache>
                <c:ptCount val="1"/>
                <c:pt idx="0">
                  <c:v>Alimentation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'Resultats &amp; Analyse'!$C$57:$N$57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'Resultats &amp; Analyse'!$C$104:$N$104</c:f>
              <c:numCache>
                <c:formatCode>#,##0.00</c:formatCode>
                <c:ptCount val="12"/>
                <c:pt idx="0">
                  <c:v>0.23092194162714338</c:v>
                </c:pt>
                <c:pt idx="1">
                  <c:v>0.22821598774112134</c:v>
                </c:pt>
                <c:pt idx="2">
                  <c:v>0.22625810259159965</c:v>
                </c:pt>
                <c:pt idx="3">
                  <c:v>0.22205123381862832</c:v>
                </c:pt>
                <c:pt idx="4">
                  <c:v>0.22291144285965839</c:v>
                </c:pt>
                <c:pt idx="5">
                  <c:v>0.21977675069444444</c:v>
                </c:pt>
                <c:pt idx="6">
                  <c:v>0.1822532585433207</c:v>
                </c:pt>
                <c:pt idx="7">
                  <c:v>0.17138779012969513</c:v>
                </c:pt>
                <c:pt idx="8">
                  <c:v>0.17480303677932404</c:v>
                </c:pt>
                <c:pt idx="9">
                  <c:v>0.17572565991506045</c:v>
                </c:pt>
                <c:pt idx="10">
                  <c:v>0.15857570520136965</c:v>
                </c:pt>
                <c:pt idx="11">
                  <c:v>7.4062638186857974E-2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72-CA45-81B9-D0F247899F6A}"/>
            </c:ext>
          </c:extLst>
        </c:ser>
        <c:ser>
          <c:idx val="4"/>
          <c:order val="4"/>
          <c:tx>
            <c:strRef>
              <c:f>'Resultats &amp; Analyse'!$B$105</c:f>
              <c:strCache>
                <c:ptCount val="1"/>
                <c:pt idx="0">
                  <c:v>Déchets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'Resultats &amp; Analyse'!$C$57:$N$57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'Resultats &amp; Analyse'!$C$105:$N$105</c:f>
              <c:numCache>
                <c:formatCode>#,##0.00</c:formatCode>
                <c:ptCount val="12"/>
                <c:pt idx="0">
                  <c:v>9.9510273622765415E-3</c:v>
                </c:pt>
                <c:pt idx="1">
                  <c:v>2.2367418097298409E-2</c:v>
                </c:pt>
                <c:pt idx="2">
                  <c:v>1.9949336922908574E-2</c:v>
                </c:pt>
                <c:pt idx="3">
                  <c:v>2.1571325133435234E-2</c:v>
                </c:pt>
                <c:pt idx="4">
                  <c:v>1.9457810052071544E-2</c:v>
                </c:pt>
                <c:pt idx="5">
                  <c:v>1.8684394662698414E-2</c:v>
                </c:pt>
                <c:pt idx="6">
                  <c:v>2.3942500838305628E-2</c:v>
                </c:pt>
                <c:pt idx="7">
                  <c:v>2.4119565085781655E-2</c:v>
                </c:pt>
                <c:pt idx="8">
                  <c:v>2.7101765051358518E-2</c:v>
                </c:pt>
                <c:pt idx="9">
                  <c:v>2.2980401207121852E-2</c:v>
                </c:pt>
                <c:pt idx="10">
                  <c:v>1.8786329279308657E-2</c:v>
                </c:pt>
                <c:pt idx="11">
                  <c:v>9.972213851296265E-3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72-CA45-81B9-D0F247899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825439"/>
        <c:axId val="916588639"/>
      </c:lineChart>
      <c:catAx>
        <c:axId val="91582543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6588639"/>
        <c:crosses val="autoZero"/>
        <c:auto val="1"/>
        <c:lblAlgn val="ctr"/>
        <c:lblOffset val="100"/>
        <c:noMultiLvlLbl val="0"/>
      </c:catAx>
      <c:valAx>
        <c:axId val="916588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5825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965880264664405"/>
          <c:y val="0.20515516442797591"/>
          <c:w val="0.4692439199211591"/>
          <c:h val="0.6458732491095814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39-7B45-ACE8-BE925D0987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39-7B45-ACE8-BE925D0987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39-7B45-ACE8-BE925D0987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39-7B45-ACE8-BE925D09871C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C39-7B45-ACE8-BE925D09871C}"/>
              </c:ext>
            </c:extLst>
          </c:dPt>
          <c:dLbls>
            <c:dLbl>
              <c:idx val="3"/>
              <c:layout>
                <c:manualLayout>
                  <c:x val="-3.654233681801191E-2"/>
                  <c:y val="5.541325306120031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39-7B45-ACE8-BE925D09871C}"/>
                </c:ext>
              </c:extLst>
            </c:dLbl>
            <c:dLbl>
              <c:idx val="4"/>
              <c:layout>
                <c:manualLayout>
                  <c:x val="6.9065516994626111E-2"/>
                  <c:y val="-4.6308244728487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39-7B45-ACE8-BE925D098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('Resultats &amp; Analyse'!$B$9,'Resultats &amp; Analyse'!$B$15,'Resultats &amp; Analyse'!$B$22,'Resultats &amp; Analyse'!$B$27,'Resultats &amp; Analyse'!$B$33)</c:f>
              <c:strCache>
                <c:ptCount val="5"/>
                <c:pt idx="0">
                  <c:v>Energie </c:v>
                </c:pt>
                <c:pt idx="1">
                  <c:v>Immobilisation </c:v>
                </c:pt>
                <c:pt idx="2">
                  <c:v>Déplacements</c:v>
                </c:pt>
                <c:pt idx="3">
                  <c:v>Alimentation</c:v>
                </c:pt>
                <c:pt idx="4">
                  <c:v>Déchets</c:v>
                </c:pt>
              </c:strCache>
            </c:strRef>
          </c:cat>
          <c:val>
            <c:numRef>
              <c:f>('Resultats &amp; Analyse'!$C$9,'Resultats &amp; Analyse'!$C$15,'Resultats &amp; Analyse'!$C$22,'Resultats &amp; Analyse'!$C$27,'Resultats &amp; Analyse'!$C$33)</c:f>
              <c:numCache>
                <c:formatCode>#,##0</c:formatCode>
                <c:ptCount val="5"/>
                <c:pt idx="0" formatCode="0">
                  <c:v>2993.2437906670002</c:v>
                </c:pt>
                <c:pt idx="1">
                  <c:v>1372.5770756666666</c:v>
                </c:pt>
                <c:pt idx="2">
                  <c:v>3302.7623533148285</c:v>
                </c:pt>
                <c:pt idx="3">
                  <c:v>972.54480000000001</c:v>
                </c:pt>
                <c:pt idx="4">
                  <c:v>115.21655747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2-6A41-81A1-6B1D51958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5A-4C96-ABDA-439AC839122B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5A-4C96-ABDA-439AC83912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5A-4C96-ABDA-439AC839122B}"/>
              </c:ext>
            </c:extLst>
          </c:dPt>
          <c:dPt>
            <c:idx val="3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5A-4C96-ABDA-439AC83912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'Resultats &amp; Analyse'!$B$23:$B$26</c:f>
              <c:strCache>
                <c:ptCount val="4"/>
                <c:pt idx="0">
                  <c:v>Aériens étudiants</c:v>
                </c:pt>
                <c:pt idx="1">
                  <c:v>Aériens pro</c:v>
                </c:pt>
                <c:pt idx="2">
                  <c:v>Domicile-travail (étudiant)</c:v>
                </c:pt>
                <c:pt idx="3">
                  <c:v>Domicile-travail (pro)</c:v>
                </c:pt>
              </c:strCache>
            </c:strRef>
          </c:cat>
          <c:val>
            <c:numRef>
              <c:f>'Resultats &amp; Analyse'!$C$23:$C$26</c:f>
              <c:numCache>
                <c:formatCode>#,##0</c:formatCode>
                <c:ptCount val="4"/>
                <c:pt idx="0">
                  <c:v>2076.4414100730551</c:v>
                </c:pt>
                <c:pt idx="1">
                  <c:v>395</c:v>
                </c:pt>
                <c:pt idx="2">
                  <c:v>231.93596443864513</c:v>
                </c:pt>
                <c:pt idx="3">
                  <c:v>599.38497880312855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A-4840-9FDF-6E796ED78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01109247019431"/>
          <c:y val="0.17953822794592911"/>
          <c:w val="0.5385650383328795"/>
          <c:h val="0.78621242811028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672F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A-4686-BBF1-03E1803E41A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A-4686-BBF1-03E1803E41A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A-4686-BBF1-03E1803E41A5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A-4686-BBF1-03E1803E41A5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A7A-4686-BBF1-03E1803E41A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Chauffage
</a:t>
                    </a:r>
                    <a:fld id="{7E7BF96B-20EE-4277-B066-0786BF024513}" type="PERCENTAGE">
                      <a:rPr lang="en-US" baseline="0"/>
                      <a:pPr/>
                      <a:t>[POURCENTAGE]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A7A-4686-BBF1-03E1803E41A5}"/>
                </c:ext>
              </c:extLst>
            </c:dLbl>
            <c:dLbl>
              <c:idx val="1"/>
              <c:layout>
                <c:manualLayout>
                  <c:x val="-1.3822867463516882E-2"/>
                  <c:y val="-4.43938256673216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Gaz</a:t>
                    </a:r>
                    <a:r>
                      <a:rPr lang="en-US" baseline="0"/>
                      <a:t>
</a:t>
                    </a:r>
                    <a:fld id="{46F8603A-0792-46A7-B559-1867B78B85F8}" type="PERCENTAGE">
                      <a:rPr lang="en-US" baseline="0"/>
                      <a:pPr/>
                      <a:t>[POURCENTAGE]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A7A-4686-BBF1-03E1803E41A5}"/>
                </c:ext>
              </c:extLst>
            </c:dLbl>
            <c:dLbl>
              <c:idx val="3"/>
              <c:layout>
                <c:manualLayout>
                  <c:x val="-3.8704028897847319E-2"/>
                  <c:y val="-1.21074070001785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7A-4686-BBF1-03E1803E41A5}"/>
                </c:ext>
              </c:extLst>
            </c:dLbl>
            <c:dLbl>
              <c:idx val="4"/>
              <c:layout>
                <c:manualLayout>
                  <c:x val="7.187891081028778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7A-4686-BBF1-03E1803E41A5}"/>
                </c:ext>
              </c:extLst>
            </c:dLbl>
            <c:spPr>
              <a:noFill/>
              <a:ln w="9525"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'Resultats &amp; Analyse'!$B$10:$B$14</c:f>
              <c:strCache>
                <c:ptCount val="5"/>
                <c:pt idx="0">
                  <c:v>Chauffage urbain LTLD</c:v>
                </c:pt>
                <c:pt idx="1">
                  <c:v>Gaz (tous usages)</c:v>
                </c:pt>
                <c:pt idx="2">
                  <c:v>Electricité</c:v>
                </c:pt>
                <c:pt idx="3">
                  <c:v>Eau</c:v>
                </c:pt>
                <c:pt idx="4">
                  <c:v>Carburant</c:v>
                </c:pt>
              </c:strCache>
            </c:strRef>
          </c:cat>
          <c:val>
            <c:numRef>
              <c:f>'Resultats &amp; Analyse'!$C$10:$C$14</c:f>
              <c:numCache>
                <c:formatCode>0.0</c:formatCode>
                <c:ptCount val="5"/>
                <c:pt idx="0">
                  <c:v>1363.096</c:v>
                </c:pt>
                <c:pt idx="1">
                  <c:v>817.68042500000001</c:v>
                </c:pt>
                <c:pt idx="2">
                  <c:v>772.17549406700005</c:v>
                </c:pt>
                <c:pt idx="3">
                  <c:v>19.149768000000002</c:v>
                </c:pt>
                <c:pt idx="4">
                  <c:v>21.142103599999995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7A-4686-BBF1-03E1803E4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30481294830445"/>
          <c:y val="0.21182464661307207"/>
          <c:w val="0.5385650383328795"/>
          <c:h val="0.78621242811028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75-40E2-B31F-5CA5D23E4863}"/>
              </c:ext>
            </c:extLst>
          </c:dPt>
          <c:dPt>
            <c:idx val="1"/>
            <c:bubble3D val="0"/>
            <c:spPr>
              <a:solidFill>
                <a:schemeClr val="accent3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75-40E2-B31F-5CA5D23E486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75-40E2-B31F-5CA5D23E4863}"/>
              </c:ext>
            </c:extLst>
          </c:dPt>
          <c:dPt>
            <c:idx val="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75-40E2-B31F-5CA5D23E4863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75-40E2-B31F-5CA5D23E4863}"/>
              </c:ext>
            </c:extLst>
          </c:dPt>
          <c:dPt>
            <c:idx val="5"/>
            <c:bubble3D val="0"/>
            <c:spPr>
              <a:solidFill>
                <a:schemeClr val="accent3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375-40E2-B31F-5CA5D23E4863}"/>
              </c:ext>
            </c:extLst>
          </c:dPt>
          <c:dLbls>
            <c:dLbl>
              <c:idx val="0"/>
              <c:layout>
                <c:manualLayout>
                  <c:x val="5.5291469854067424E-2"/>
                  <c:y val="-2.01790116669643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75-40E2-B31F-5CA5D23E4863}"/>
                </c:ext>
              </c:extLst>
            </c:dLbl>
            <c:dLbl>
              <c:idx val="2"/>
              <c:layout>
                <c:manualLayout>
                  <c:x val="3.041030841973711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75-40E2-B31F-5CA5D23E4863}"/>
                </c:ext>
              </c:extLst>
            </c:dLbl>
            <c:dLbl>
              <c:idx val="3"/>
              <c:layout>
                <c:manualLayout>
                  <c:x val="-3.0410308419737138E-2"/>
                  <c:y val="-3.63222210005357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75-40E2-B31F-5CA5D23E4863}"/>
                </c:ext>
              </c:extLst>
            </c:dLbl>
            <c:dLbl>
              <c:idx val="4"/>
              <c:layout>
                <c:manualLayout>
                  <c:x val="2.4881161434330386E-2"/>
                  <c:y val="-6.45728373342858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75-40E2-B31F-5CA5D23E4863}"/>
                </c:ext>
              </c:extLst>
            </c:dLbl>
            <c:dLbl>
              <c:idx val="5"/>
              <c:layout>
                <c:manualLayout>
                  <c:x val="0.10090693248367313"/>
                  <c:y val="3.63220621106801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16204841399467"/>
                      <c:h val="0.176416042282497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3375-40E2-B31F-5CA5D23E4863}"/>
                </c:ext>
              </c:extLst>
            </c:dLbl>
            <c:spPr>
              <a:noFill/>
              <a:ln w="6350"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'Resultats &amp; Analyse'!$B$16:$B$21</c:f>
              <c:strCache>
                <c:ptCount val="6"/>
                <c:pt idx="0">
                  <c:v>Bâtiments</c:v>
                </c:pt>
                <c:pt idx="1">
                  <c:v>Véhicules</c:v>
                </c:pt>
                <c:pt idx="2">
                  <c:v>Parc informatique</c:v>
                </c:pt>
                <c:pt idx="3">
                  <c:v>Mobilier</c:v>
                </c:pt>
                <c:pt idx="4">
                  <c:v>Parc copieurs</c:v>
                </c:pt>
                <c:pt idx="5">
                  <c:v>Rétroprojecteurs</c:v>
                </c:pt>
              </c:strCache>
            </c:strRef>
          </c:cat>
          <c:val>
            <c:numRef>
              <c:f>'Resultats &amp; Analyse'!$C$16:$C$21</c:f>
              <c:numCache>
                <c:formatCode>0.0</c:formatCode>
                <c:ptCount val="6"/>
                <c:pt idx="0">
                  <c:v>1048.8575423333334</c:v>
                </c:pt>
                <c:pt idx="1">
                  <c:v>15.506333333333334</c:v>
                </c:pt>
                <c:pt idx="2">
                  <c:v>190.99639999999999</c:v>
                </c:pt>
                <c:pt idx="3">
                  <c:v>46.33</c:v>
                </c:pt>
                <c:pt idx="4">
                  <c:v>64.569999999999993</c:v>
                </c:pt>
                <c:pt idx="5">
                  <c:v>6.3168000000000006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75-40E2-B31F-5CA5D23E4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30481294830445"/>
          <c:y val="0.21182464661307207"/>
          <c:w val="0.5385650383328795"/>
          <c:h val="0.78621242811028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C-4D49-8252-7F92406B0AF1}"/>
              </c:ext>
            </c:extLst>
          </c:dPt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4C-4D49-8252-7F92406B0AF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4C-4D49-8252-7F92406B0AF1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4C-4D49-8252-7F92406B0AF1}"/>
              </c:ext>
            </c:extLst>
          </c:dPt>
          <c:dPt>
            <c:idx val="4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4C-4D49-8252-7F92406B0AF1}"/>
              </c:ext>
            </c:extLst>
          </c:dPt>
          <c:dLbls>
            <c:dLbl>
              <c:idx val="1"/>
              <c:layout>
                <c:manualLayout>
                  <c:x val="-8.5701778273804693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4C-4D49-8252-7F92406B0AF1}"/>
                </c:ext>
              </c:extLst>
            </c:dLbl>
            <c:spPr>
              <a:noFill/>
              <a:ln w="6350"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'Resultats &amp; Analyse'!$B$28:$B$32</c:f>
              <c:strCache>
                <c:ptCount val="5"/>
                <c:pt idx="0">
                  <c:v>Viandes</c:v>
                </c:pt>
                <c:pt idx="1">
                  <c:v>Produits laitiers</c:v>
                </c:pt>
                <c:pt idx="2">
                  <c:v>Fruits et légumes</c:v>
                </c:pt>
                <c:pt idx="3">
                  <c:v>Poissons</c:v>
                </c:pt>
                <c:pt idx="4">
                  <c:v>Autres</c:v>
                </c:pt>
              </c:strCache>
            </c:strRef>
          </c:cat>
          <c:val>
            <c:numRef>
              <c:f>'Resultats &amp; Analyse'!$C$28:$C$32</c:f>
              <c:numCache>
                <c:formatCode>#,##0</c:formatCode>
                <c:ptCount val="5"/>
                <c:pt idx="0">
                  <c:v>435.63565</c:v>
                </c:pt>
                <c:pt idx="1">
                  <c:v>288.08575000000002</c:v>
                </c:pt>
                <c:pt idx="2">
                  <c:v>109.46900000000001</c:v>
                </c:pt>
                <c:pt idx="3">
                  <c:v>84.3947</c:v>
                </c:pt>
                <c:pt idx="4">
                  <c:v>54.959699999999998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94C-4D49-8252-7F92406B0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Décarbonation</a:t>
            </a:r>
            <a:r>
              <a:rPr lang="fr-FR" baseline="0"/>
              <a:t> de l'électricité sur le campus de l'INSA de 2009 à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Consommation Electrique 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'Données Energie'!$G$27:$R$27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'Données Energie'!$G$84:$R$84</c:f>
              <c:numCache>
                <c:formatCode>#,##0</c:formatCode>
                <c:ptCount val="12"/>
                <c:pt idx="0">
                  <c:v>13368149</c:v>
                </c:pt>
                <c:pt idx="1">
                  <c:v>13744443</c:v>
                </c:pt>
                <c:pt idx="2">
                  <c:v>13325246</c:v>
                </c:pt>
                <c:pt idx="3">
                  <c:v>12048085</c:v>
                </c:pt>
                <c:pt idx="4">
                  <c:v>12207944</c:v>
                </c:pt>
                <c:pt idx="5">
                  <c:v>11933674</c:v>
                </c:pt>
                <c:pt idx="6">
                  <c:v>12044390</c:v>
                </c:pt>
                <c:pt idx="7">
                  <c:v>11588903</c:v>
                </c:pt>
                <c:pt idx="8">
                  <c:v>12805369.770000001</c:v>
                </c:pt>
                <c:pt idx="9">
                  <c:v>12201969.355</c:v>
                </c:pt>
                <c:pt idx="10">
                  <c:v>12721177.809999999</c:v>
                </c:pt>
                <c:pt idx="11">
                  <c:v>10908849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D-4D20-9383-ABEF24FD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244344"/>
        <c:axId val="584245000"/>
      </c:barChart>
      <c:lineChart>
        <c:grouping val="standard"/>
        <c:varyColors val="0"/>
        <c:ser>
          <c:idx val="1"/>
          <c:order val="1"/>
          <c:tx>
            <c:v>Emissions en kgCO2e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'Données Energie'!$G$27:$R$27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'Données Energie'!$G$140:$R$140</c:f>
              <c:numCache>
                <c:formatCode>#,##0</c:formatCode>
                <c:ptCount val="12"/>
                <c:pt idx="0">
                  <c:v>1049399.6965000001</c:v>
                </c:pt>
                <c:pt idx="1">
                  <c:v>1078938.7755</c:v>
                </c:pt>
                <c:pt idx="2">
                  <c:v>1046031.811</c:v>
                </c:pt>
                <c:pt idx="3">
                  <c:v>897889.67249999987</c:v>
                </c:pt>
                <c:pt idx="4">
                  <c:v>892427.94960000005</c:v>
                </c:pt>
                <c:pt idx="5">
                  <c:v>860417.8953999998</c:v>
                </c:pt>
                <c:pt idx="6">
                  <c:v>733503.35100000014</c:v>
                </c:pt>
                <c:pt idx="7">
                  <c:v>664044.14189999993</c:v>
                </c:pt>
                <c:pt idx="8">
                  <c:v>714539.6331659999</c:v>
                </c:pt>
                <c:pt idx="9">
                  <c:v>696732.45017049997</c:v>
                </c:pt>
                <c:pt idx="10">
                  <c:v>772175.49406699999</c:v>
                </c:pt>
                <c:pt idx="11">
                  <c:v>653440.0551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D-4D20-9383-ABEF24FD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518232"/>
        <c:axId val="745517904"/>
      </c:lineChart>
      <c:catAx>
        <c:axId val="5842443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4245000"/>
        <c:crosses val="autoZero"/>
        <c:auto val="1"/>
        <c:lblAlgn val="ctr"/>
        <c:lblOffset val="100"/>
        <c:noMultiLvlLbl val="0"/>
      </c:catAx>
      <c:valAx>
        <c:axId val="58424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accent1"/>
                    </a:solidFill>
                  </a:rPr>
                  <a:t>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4244344"/>
        <c:crosses val="autoZero"/>
        <c:crossBetween val="between"/>
      </c:valAx>
      <c:valAx>
        <c:axId val="7455179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accent2"/>
                    </a:solidFill>
                  </a:rPr>
                  <a:t>kgCO2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518232"/>
        <c:crosses val="max"/>
        <c:crossBetween val="between"/>
      </c:valAx>
      <c:catAx>
        <c:axId val="74551823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745517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Décarbonation</a:t>
            </a:r>
            <a:r>
              <a:rPr lang="fr-FR" baseline="0"/>
              <a:t> de la consommation de l'eau sur le campus de l'INSA de 2009 à 2019</a:t>
            </a:r>
            <a:endParaRPr lang="fr-FR"/>
          </a:p>
        </c:rich>
      </c:tx>
      <c:layout>
        <c:manualLayout>
          <c:xMode val="edge"/>
          <c:yMode val="edge"/>
          <c:x val="0.1668850019932562"/>
          <c:y val="0.746198769324695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Consommation en Eau 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'Données Energie'!$G$27:$R$27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'Données Energie'!$H$188:$R$188</c:f>
              <c:numCache>
                <c:formatCode>#,##0</c:formatCode>
                <c:ptCount val="11"/>
                <c:pt idx="0">
                  <c:v>197222</c:v>
                </c:pt>
                <c:pt idx="1">
                  <c:v>191496</c:v>
                </c:pt>
                <c:pt idx="2">
                  <c:v>177392</c:v>
                </c:pt>
                <c:pt idx="3">
                  <c:v>173871</c:v>
                </c:pt>
                <c:pt idx="4">
                  <c:v>168699.5</c:v>
                </c:pt>
                <c:pt idx="5">
                  <c:v>163862.5</c:v>
                </c:pt>
                <c:pt idx="6">
                  <c:v>155238.5</c:v>
                </c:pt>
                <c:pt idx="7">
                  <c:v>156019</c:v>
                </c:pt>
                <c:pt idx="8">
                  <c:v>164171</c:v>
                </c:pt>
                <c:pt idx="9">
                  <c:v>145074</c:v>
                </c:pt>
                <c:pt idx="10">
                  <c:v>115062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8-4D67-8DF6-0B901D23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479568"/>
        <c:axId val="752481208"/>
      </c:barChart>
      <c:lineChart>
        <c:grouping val="standard"/>
        <c:varyColors val="0"/>
        <c:ser>
          <c:idx val="1"/>
          <c:order val="1"/>
          <c:tx>
            <c:v>Emissions en kgCO2e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'Données Energie'!$H$235:$R$235</c:f>
              <c:numCache>
                <c:formatCode>#,##0</c:formatCode>
                <c:ptCount val="11"/>
                <c:pt idx="0">
                  <c:v>26033.303999999996</c:v>
                </c:pt>
                <c:pt idx="1">
                  <c:v>25277.472000000002</c:v>
                </c:pt>
                <c:pt idx="2">
                  <c:v>23415.744000000002</c:v>
                </c:pt>
                <c:pt idx="3">
                  <c:v>22950.972000000002</c:v>
                </c:pt>
                <c:pt idx="4">
                  <c:v>22268.334000000003</c:v>
                </c:pt>
                <c:pt idx="5">
                  <c:v>21629.85</c:v>
                </c:pt>
                <c:pt idx="6">
                  <c:v>20491.482</c:v>
                </c:pt>
                <c:pt idx="7">
                  <c:v>20594.507999999998</c:v>
                </c:pt>
                <c:pt idx="8">
                  <c:v>21670.572</c:v>
                </c:pt>
                <c:pt idx="9">
                  <c:v>19149.768</c:v>
                </c:pt>
                <c:pt idx="10">
                  <c:v>15188.183999999999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8-4D67-8DF6-0B901D23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987656"/>
        <c:axId val="739378472"/>
      </c:lineChart>
      <c:catAx>
        <c:axId val="752479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481208"/>
        <c:crosses val="autoZero"/>
        <c:auto val="1"/>
        <c:lblAlgn val="ctr"/>
        <c:lblOffset val="100"/>
        <c:noMultiLvlLbl val="0"/>
      </c:catAx>
      <c:valAx>
        <c:axId val="75248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accent1"/>
                    </a:solidFill>
                  </a:rPr>
                  <a:t>m3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479568"/>
        <c:crosses val="autoZero"/>
        <c:crossBetween val="between"/>
      </c:valAx>
      <c:valAx>
        <c:axId val="7393784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accent2"/>
                    </a:solidFill>
                  </a:rPr>
                  <a:t>kgCO2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8987656"/>
        <c:crosses val="max"/>
        <c:crossBetween val="between"/>
      </c:valAx>
      <c:catAx>
        <c:axId val="578987656"/>
        <c:scaling>
          <c:orientation val="minMax"/>
        </c:scaling>
        <c:delete val="1"/>
        <c:axPos val="b"/>
        <c:majorTickMark val="out"/>
        <c:minorTickMark val="none"/>
        <c:tickLblPos val="nextTo"/>
        <c:crossAx val="739378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Décarbonation de</a:t>
            </a:r>
            <a:r>
              <a:rPr lang="fr-FR" baseline="0"/>
              <a:t> la consommation de gaz sur le campus de l'INSA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Consommation en Gaz 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'Données Energie'!$G$27:$R$27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'Données Energie'!$G$252:$R$252</c:f>
              <c:numCache>
                <c:formatCode>#,##0</c:formatCode>
                <c:ptCount val="12"/>
                <c:pt idx="0">
                  <c:v>4715325</c:v>
                </c:pt>
                <c:pt idx="1">
                  <c:v>5004138</c:v>
                </c:pt>
                <c:pt idx="2">
                  <c:v>4337530</c:v>
                </c:pt>
                <c:pt idx="3">
                  <c:v>4685908</c:v>
                </c:pt>
                <c:pt idx="4">
                  <c:v>5079102</c:v>
                </c:pt>
                <c:pt idx="5">
                  <c:v>4110220</c:v>
                </c:pt>
                <c:pt idx="6">
                  <c:v>4422158</c:v>
                </c:pt>
                <c:pt idx="7">
                  <c:v>4112837</c:v>
                </c:pt>
                <c:pt idx="8">
                  <c:v>4132528</c:v>
                </c:pt>
                <c:pt idx="9">
                  <c:v>3751584</c:v>
                </c:pt>
                <c:pt idx="10">
                  <c:v>3929636</c:v>
                </c:pt>
                <c:pt idx="11">
                  <c:v>2419584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E-4B01-8E1E-EBA5CBCE2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5309784"/>
        <c:axId val="615310440"/>
      </c:barChart>
      <c:lineChart>
        <c:grouping val="standard"/>
        <c:varyColors val="0"/>
        <c:ser>
          <c:idx val="1"/>
          <c:order val="1"/>
          <c:tx>
            <c:v>Emissions en kgCO2 DJU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'Données E'!#REF!</c:f>
            </c:multiLvlStrRef>
          </c:cat>
          <c:val>
            <c:numRef>
              <c:f>'Données Energie'!#REF!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DE-4B01-8E1E-EBA5CBCE2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028440"/>
        <c:axId val="633032704"/>
      </c:lineChart>
      <c:catAx>
        <c:axId val="6153097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310440"/>
        <c:crosses val="autoZero"/>
        <c:auto val="1"/>
        <c:lblAlgn val="ctr"/>
        <c:lblOffset val="100"/>
        <c:noMultiLvlLbl val="0"/>
      </c:catAx>
      <c:valAx>
        <c:axId val="61531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accent1"/>
                    </a:solidFill>
                  </a:rPr>
                  <a:t>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309784"/>
        <c:crosses val="autoZero"/>
        <c:crossBetween val="between"/>
      </c:valAx>
      <c:valAx>
        <c:axId val="6330327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accent2"/>
                    </a:solidFill>
                  </a:rPr>
                  <a:t>kgCO2 DJU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028440"/>
        <c:crosses val="max"/>
        <c:crossBetween val="between"/>
      </c:valAx>
      <c:catAx>
        <c:axId val="633028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3032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Décarbonation de la consommation de</a:t>
            </a:r>
            <a:r>
              <a:rPr lang="fr-FR" baseline="0"/>
              <a:t> chauffage urbain sur le campus de l'INSA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Consommation chauffage urbain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'Données Energie'!$G$27:$R$27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'Données Energie'!$G$316:$R$316</c:f>
              <c:numCache>
                <c:formatCode>#,##0</c:formatCode>
                <c:ptCount val="12"/>
                <c:pt idx="0">
                  <c:v>17544000</c:v>
                </c:pt>
                <c:pt idx="1">
                  <c:v>20084000</c:v>
                </c:pt>
                <c:pt idx="2">
                  <c:v>15176000</c:v>
                </c:pt>
                <c:pt idx="3">
                  <c:v>17090000</c:v>
                </c:pt>
                <c:pt idx="4">
                  <c:v>19367000</c:v>
                </c:pt>
                <c:pt idx="5">
                  <c:v>13563500</c:v>
                </c:pt>
                <c:pt idx="6">
                  <c:v>15186500</c:v>
                </c:pt>
                <c:pt idx="7">
                  <c:v>15681280</c:v>
                </c:pt>
                <c:pt idx="8">
                  <c:v>14687489</c:v>
                </c:pt>
                <c:pt idx="9">
                  <c:v>13401000</c:v>
                </c:pt>
                <c:pt idx="10">
                  <c:v>13646000</c:v>
                </c:pt>
                <c:pt idx="11">
                  <c:v>12970000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C-419D-92B3-19C393B42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6244560"/>
        <c:axId val="640845832"/>
      </c:barChart>
      <c:lineChart>
        <c:grouping val="standard"/>
        <c:varyColors val="0"/>
        <c:ser>
          <c:idx val="1"/>
          <c:order val="1"/>
          <c:tx>
            <c:v>Emissions en kgCO2e DJU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'Données Energie'!#REF!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C-419D-92B3-19C393B42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37648"/>
        <c:axId val="631638632"/>
      </c:lineChart>
      <c:catAx>
        <c:axId val="636244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0845832"/>
        <c:crosses val="autoZero"/>
        <c:auto val="1"/>
        <c:lblAlgn val="ctr"/>
        <c:lblOffset val="100"/>
        <c:noMultiLvlLbl val="0"/>
      </c:catAx>
      <c:valAx>
        <c:axId val="6408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accent1"/>
                    </a:solidFill>
                  </a:rPr>
                  <a:t>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6244560"/>
        <c:crosses val="autoZero"/>
        <c:crossBetween val="between"/>
      </c:valAx>
      <c:valAx>
        <c:axId val="6316386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accent2"/>
                    </a:solidFill>
                  </a:rPr>
                  <a:t>kgCO2 DJU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37648"/>
        <c:crosses val="max"/>
        <c:crossBetween val="between"/>
      </c:valAx>
      <c:catAx>
        <c:axId val="631637648"/>
        <c:scaling>
          <c:orientation val="minMax"/>
        </c:scaling>
        <c:delete val="1"/>
        <c:axPos val="b"/>
        <c:majorTickMark val="out"/>
        <c:minorTickMark val="none"/>
        <c:tickLblPos val="nextTo"/>
        <c:crossAx val="631638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Chauffage urbain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Consommation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2160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'Bilan Energie'!$B$6:$B$17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'Bilan Energie'!$C$6:$C$17</c:f>
              <c:numCache>
                <c:formatCode>#,##0</c:formatCode>
                <c:ptCount val="12"/>
                <c:pt idx="0">
                  <c:v>17544</c:v>
                </c:pt>
                <c:pt idx="1">
                  <c:v>20084</c:v>
                </c:pt>
                <c:pt idx="2">
                  <c:v>15176</c:v>
                </c:pt>
                <c:pt idx="3">
                  <c:v>17090</c:v>
                </c:pt>
                <c:pt idx="4">
                  <c:v>19367</c:v>
                </c:pt>
                <c:pt idx="5">
                  <c:v>13563.5</c:v>
                </c:pt>
                <c:pt idx="6">
                  <c:v>15186.5</c:v>
                </c:pt>
                <c:pt idx="7">
                  <c:v>15681.28</c:v>
                </c:pt>
                <c:pt idx="8">
                  <c:v>14687.489</c:v>
                </c:pt>
                <c:pt idx="9">
                  <c:v>13401</c:v>
                </c:pt>
                <c:pt idx="10">
                  <c:v>13646</c:v>
                </c:pt>
                <c:pt idx="11">
                  <c:v>12970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5-4CAC-A72E-EEAC645B73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4066047"/>
        <c:axId val="1398089999"/>
      </c:lineChart>
      <c:lineChart>
        <c:grouping val="standard"/>
        <c:varyColors val="0"/>
        <c:ser>
          <c:idx val="1"/>
          <c:order val="1"/>
          <c:tx>
            <c:v>Emissions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6000" tIns="19050" rIns="1800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'Données Energie'!$G$409:$R$409</c:f>
                <c:numCache>
                  <c:formatCode>General</c:formatCode>
                  <c:ptCount val="12"/>
                  <c:pt idx="0">
                    <c:v>1310.5368000000001</c:v>
                  </c:pt>
                  <c:pt idx="1">
                    <c:v>1500.2748000000001</c:v>
                  </c:pt>
                  <c:pt idx="2">
                    <c:v>1133.6471999999999</c:v>
                  </c:pt>
                  <c:pt idx="3">
                    <c:v>1276.623</c:v>
                  </c:pt>
                  <c:pt idx="4">
                    <c:v>1446.7148999999999</c:v>
                  </c:pt>
                  <c:pt idx="5">
                    <c:v>1013.19345</c:v>
                  </c:pt>
                  <c:pt idx="6">
                    <c:v>1134.43155</c:v>
                  </c:pt>
                  <c:pt idx="7">
                    <c:v>1171.3916160000001</c:v>
                  </c:pt>
                  <c:pt idx="8">
                    <c:v>438.15062297999998</c:v>
                  </c:pt>
                  <c:pt idx="9">
                    <c:v>399.19644</c:v>
                  </c:pt>
                  <c:pt idx="10">
                    <c:v>408.92879999999997</c:v>
                  </c:pt>
                  <c:pt idx="11">
                    <c:v>386.18440800000002</c:v>
                  </c:pt>
                </c:numCache>
              </c:numRef>
            </c:plus>
            <c:minus>
              <c:numRef>
                <c:f>'Données Energie'!$G$409:$R$409</c:f>
                <c:numCache>
                  <c:formatCode>General</c:formatCode>
                  <c:ptCount val="12"/>
                  <c:pt idx="0">
                    <c:v>1310.5368000000001</c:v>
                  </c:pt>
                  <c:pt idx="1">
                    <c:v>1500.2748000000001</c:v>
                  </c:pt>
                  <c:pt idx="2">
                    <c:v>1133.6471999999999</c:v>
                  </c:pt>
                  <c:pt idx="3">
                    <c:v>1276.623</c:v>
                  </c:pt>
                  <c:pt idx="4">
                    <c:v>1446.7148999999999</c:v>
                  </c:pt>
                  <c:pt idx="5">
                    <c:v>1013.19345</c:v>
                  </c:pt>
                  <c:pt idx="6">
                    <c:v>1134.43155</c:v>
                  </c:pt>
                  <c:pt idx="7">
                    <c:v>1171.3916160000001</c:v>
                  </c:pt>
                  <c:pt idx="8">
                    <c:v>438.15062297999998</c:v>
                  </c:pt>
                  <c:pt idx="9">
                    <c:v>399.19644</c:v>
                  </c:pt>
                  <c:pt idx="10">
                    <c:v>408.92879999999997</c:v>
                  </c:pt>
                  <c:pt idx="11">
                    <c:v>386.18440800000002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'Bilan Energie'!$B$6:$B$17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'Bilan Energie'!$D$6:$D$17</c:f>
              <c:numCache>
                <c:formatCode>#,##0</c:formatCode>
                <c:ptCount val="12"/>
                <c:pt idx="0">
                  <c:v>4368.4560000000001</c:v>
                </c:pt>
                <c:pt idx="1">
                  <c:v>5000.9160000000002</c:v>
                </c:pt>
                <c:pt idx="2">
                  <c:v>3778.8240000000001</c:v>
                </c:pt>
                <c:pt idx="3">
                  <c:v>4255.41</c:v>
                </c:pt>
                <c:pt idx="4">
                  <c:v>4822.3829999999998</c:v>
                </c:pt>
                <c:pt idx="5">
                  <c:v>3377.3114999999998</c:v>
                </c:pt>
                <c:pt idx="6">
                  <c:v>3781.4385000000002</c:v>
                </c:pt>
                <c:pt idx="7">
                  <c:v>3904.6387200000008</c:v>
                </c:pt>
                <c:pt idx="8">
                  <c:v>1460.5020766</c:v>
                </c:pt>
                <c:pt idx="9">
                  <c:v>1330.6548</c:v>
                </c:pt>
                <c:pt idx="10">
                  <c:v>1363.096</c:v>
                </c:pt>
                <c:pt idx="11">
                  <c:v>1287.2813600000002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5-4CAC-A72E-EEAC645B73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8796799"/>
        <c:axId val="1391031631"/>
      </c:lineChart>
      <c:catAx>
        <c:axId val="1384066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8089999"/>
        <c:crosses val="autoZero"/>
        <c:auto val="1"/>
        <c:lblAlgn val="ctr"/>
        <c:lblOffset val="100"/>
        <c:noMultiLvlLbl val="0"/>
      </c:catAx>
      <c:valAx>
        <c:axId val="1398089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consommation (GWh)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4066047"/>
        <c:crosses val="autoZero"/>
        <c:crossBetween val="midCat"/>
        <c:dispUnits>
          <c:builtInUnit val="thousands"/>
        </c:dispUnits>
      </c:valAx>
      <c:valAx>
        <c:axId val="1391031631"/>
        <c:scaling>
          <c:orientation val="minMax"/>
          <c:max val="1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emission (milliers de tCO2e)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8796799"/>
        <c:crosses val="max"/>
        <c:crossBetween val="between"/>
        <c:majorUnit val="2000"/>
        <c:dispUnits>
          <c:builtInUnit val="thousands"/>
        </c:dispUnits>
      </c:valAx>
      <c:catAx>
        <c:axId val="12387967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10316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Electricité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'Bilan Energie'!$E$5</c:f>
              <c:strCache>
                <c:ptCount val="1"/>
                <c:pt idx="0">
                  <c:v>Consommation (MWh)</c:v>
                </c:pt>
              </c:strCache>
            </c:strRef>
          </c:tx>
          <c:spPr>
            <a:ln w="28575"/>
          </c:spPr>
          <c:marker>
            <c:symbol val="none"/>
          </c:marker>
          <c:dLbls>
            <c:dLbl>
              <c:idx val="0"/>
              <c:layout>
                <c:manualLayout>
                  <c:x val="-4.2025848360142254E-2"/>
                  <c:y val="3.1527867462099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8222-4422-9786-DB441F100715}"/>
                </c:ext>
              </c:extLst>
            </c:dLbl>
            <c:dLbl>
              <c:idx val="1"/>
              <c:layout>
                <c:manualLayout>
                  <c:x val="-4.2025848360142275E-2"/>
                  <c:y val="2.336793274157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8222-4422-9786-DB441F100715}"/>
                </c:ext>
              </c:extLst>
            </c:dLbl>
            <c:dLbl>
              <c:idx val="2"/>
              <c:layout>
                <c:manualLayout>
                  <c:x val="-5.4265750440925603E-2"/>
                  <c:y val="2.7447900101838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8222-4422-9786-DB441F1007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'Bilan Energie'!$B$6:$B$17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'Bilan Energie'!$E$6:$E$17</c:f>
              <c:numCache>
                <c:formatCode>#,##0</c:formatCode>
                <c:ptCount val="12"/>
                <c:pt idx="0">
                  <c:v>13368.148999999999</c:v>
                </c:pt>
                <c:pt idx="1">
                  <c:v>13744.442999999999</c:v>
                </c:pt>
                <c:pt idx="2">
                  <c:v>13325.245999999999</c:v>
                </c:pt>
                <c:pt idx="3">
                  <c:v>12048.084999999999</c:v>
                </c:pt>
                <c:pt idx="4">
                  <c:v>12207.944</c:v>
                </c:pt>
                <c:pt idx="5">
                  <c:v>11933.674000000001</c:v>
                </c:pt>
                <c:pt idx="6">
                  <c:v>12044.39</c:v>
                </c:pt>
                <c:pt idx="7">
                  <c:v>11588.903</c:v>
                </c:pt>
                <c:pt idx="8">
                  <c:v>12805.369770000001</c:v>
                </c:pt>
                <c:pt idx="9">
                  <c:v>12201.969355000001</c:v>
                </c:pt>
                <c:pt idx="10">
                  <c:v>12721.177809999999</c:v>
                </c:pt>
                <c:pt idx="11">
                  <c:v>10908.849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8222-4422-9786-DB441F1007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6795599"/>
        <c:axId val="1391034127"/>
      </c:lineChart>
      <c:lineChart>
        <c:grouping val="standard"/>
        <c:varyColors val="0"/>
        <c:ser>
          <c:idx val="1"/>
          <c:order val="1"/>
          <c:tx>
            <c:strRef>
              <c:f>'Bilan Energie'!$F$5</c:f>
              <c:strCache>
                <c:ptCount val="1"/>
                <c:pt idx="0">
                  <c:v>Emission (tCO2e)</c:v>
                </c:pt>
              </c:strCache>
            </c:strRef>
          </c:tx>
          <c:spPr>
            <a:ln w="28575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'Données Energie'!$G$141:$R$141</c:f>
                <c:numCache>
                  <c:formatCode>General</c:formatCode>
                  <c:ptCount val="12"/>
                  <c:pt idx="0">
                    <c:v>104.93996965000001</c:v>
                  </c:pt>
                  <c:pt idx="1">
                    <c:v>107.89387755</c:v>
                  </c:pt>
                  <c:pt idx="2">
                    <c:v>104.6031811</c:v>
                  </c:pt>
                  <c:pt idx="3">
                    <c:v>89.788967249999985</c:v>
                  </c:pt>
                  <c:pt idx="4">
                    <c:v>89.242794960000012</c:v>
                  </c:pt>
                  <c:pt idx="5">
                    <c:v>86.041789539999982</c:v>
                  </c:pt>
                  <c:pt idx="6">
                    <c:v>73.350335100000009</c:v>
                  </c:pt>
                  <c:pt idx="7">
                    <c:v>66.404414189999997</c:v>
                  </c:pt>
                  <c:pt idx="8">
                    <c:v>71.453963316599996</c:v>
                  </c:pt>
                  <c:pt idx="9">
                    <c:v>69.673245017049993</c:v>
                  </c:pt>
                  <c:pt idx="10">
                    <c:v>77.217549406700002</c:v>
                  </c:pt>
                  <c:pt idx="11">
                    <c:v>65.344005510000002</c:v>
                  </c:pt>
                </c:numCache>
              </c:numRef>
            </c:plus>
            <c:minus>
              <c:numRef>
                <c:f>'Données Energie'!$G$141:$R$141</c:f>
                <c:numCache>
                  <c:formatCode>General</c:formatCode>
                  <c:ptCount val="12"/>
                  <c:pt idx="0">
                    <c:v>104.93996965000001</c:v>
                  </c:pt>
                  <c:pt idx="1">
                    <c:v>107.89387755</c:v>
                  </c:pt>
                  <c:pt idx="2">
                    <c:v>104.6031811</c:v>
                  </c:pt>
                  <c:pt idx="3">
                    <c:v>89.788967249999985</c:v>
                  </c:pt>
                  <c:pt idx="4">
                    <c:v>89.242794960000012</c:v>
                  </c:pt>
                  <c:pt idx="5">
                    <c:v>86.041789539999982</c:v>
                  </c:pt>
                  <c:pt idx="6">
                    <c:v>73.350335100000009</c:v>
                  </c:pt>
                  <c:pt idx="7">
                    <c:v>66.404414189999997</c:v>
                  </c:pt>
                  <c:pt idx="8">
                    <c:v>71.453963316599996</c:v>
                  </c:pt>
                  <c:pt idx="9">
                    <c:v>69.673245017049993</c:v>
                  </c:pt>
                  <c:pt idx="10">
                    <c:v>77.217549406700002</c:v>
                  </c:pt>
                  <c:pt idx="11">
                    <c:v>65.344005510000002</c:v>
                  </c:pt>
                </c:numCache>
              </c:numRef>
            </c:minus>
          </c:errBars>
          <c:cat>
            <c:numRef>
              <c:f>'Bilan Energie'!$B$6:$B$17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'Bilan Energie'!$F$6:$F$17</c:f>
              <c:numCache>
                <c:formatCode>#,##0</c:formatCode>
                <c:ptCount val="12"/>
                <c:pt idx="0">
                  <c:v>1049.3996965000001</c:v>
                </c:pt>
                <c:pt idx="1">
                  <c:v>1078.9387755</c:v>
                </c:pt>
                <c:pt idx="2">
                  <c:v>1046.0318110000001</c:v>
                </c:pt>
                <c:pt idx="3">
                  <c:v>897.88967249999985</c:v>
                </c:pt>
                <c:pt idx="4">
                  <c:v>892.42794960000003</c:v>
                </c:pt>
                <c:pt idx="5">
                  <c:v>860.41789539999979</c:v>
                </c:pt>
                <c:pt idx="6">
                  <c:v>733.50335100000018</c:v>
                </c:pt>
                <c:pt idx="7">
                  <c:v>664.04414189999989</c:v>
                </c:pt>
                <c:pt idx="8">
                  <c:v>714.53963316599993</c:v>
                </c:pt>
                <c:pt idx="9">
                  <c:v>696.73245017049999</c:v>
                </c:pt>
                <c:pt idx="10">
                  <c:v>772.17549406700005</c:v>
                </c:pt>
                <c:pt idx="11">
                  <c:v>653.4400551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8222-4422-9786-DB441F1007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9087439"/>
        <c:axId val="1398092079"/>
      </c:lineChart>
      <c:catAx>
        <c:axId val="1386795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1034127"/>
        <c:crosses val="autoZero"/>
        <c:auto val="1"/>
        <c:lblAlgn val="ctr"/>
        <c:lblOffset val="100"/>
        <c:noMultiLvlLbl val="0"/>
      </c:catAx>
      <c:valAx>
        <c:axId val="1391034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consommation (MWh)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6795599"/>
        <c:crosses val="autoZero"/>
        <c:crossBetween val="midCat"/>
      </c:valAx>
      <c:valAx>
        <c:axId val="139809207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emission (tCO2e)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9087439"/>
        <c:crosses val="max"/>
        <c:crossBetween val="between"/>
      </c:valAx>
      <c:catAx>
        <c:axId val="12390874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8092079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Gaz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'Bilan Energie'!$G$5</c:f>
              <c:strCache>
                <c:ptCount val="1"/>
                <c:pt idx="0">
                  <c:v>Consommation (MWh)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'Bilan Energie'!$B$6:$B$17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'Bilan Energie'!$G$6:$G$17</c:f>
              <c:numCache>
                <c:formatCode>#,##0</c:formatCode>
                <c:ptCount val="12"/>
                <c:pt idx="0">
                  <c:v>4715.3249999999998</c:v>
                </c:pt>
                <c:pt idx="1">
                  <c:v>5004.1379999999999</c:v>
                </c:pt>
                <c:pt idx="2">
                  <c:v>4337.53</c:v>
                </c:pt>
                <c:pt idx="3">
                  <c:v>4685.9080000000004</c:v>
                </c:pt>
                <c:pt idx="4">
                  <c:v>5079.1019999999999</c:v>
                </c:pt>
                <c:pt idx="5">
                  <c:v>4110.22</c:v>
                </c:pt>
                <c:pt idx="6">
                  <c:v>4422.1580000000004</c:v>
                </c:pt>
                <c:pt idx="7">
                  <c:v>4112.8370000000004</c:v>
                </c:pt>
                <c:pt idx="8">
                  <c:v>4132.5280000000002</c:v>
                </c:pt>
                <c:pt idx="9">
                  <c:v>3751.5839999999998</c:v>
                </c:pt>
                <c:pt idx="10">
                  <c:v>3929.636</c:v>
                </c:pt>
                <c:pt idx="11">
                  <c:v>2419.5839999999998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4-4934-B9EE-350657C2E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795599"/>
        <c:axId val="1391034127"/>
      </c:lineChart>
      <c:lineChart>
        <c:grouping val="standard"/>
        <c:varyColors val="0"/>
        <c:ser>
          <c:idx val="1"/>
          <c:order val="1"/>
          <c:tx>
            <c:strRef>
              <c:f>'Bilan Energie'!$H$5</c:f>
              <c:strCache>
                <c:ptCount val="1"/>
                <c:pt idx="0">
                  <c:v>Emission  (tCO2e)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2.7760097919216645E-2"/>
                  <c:y val="-6.3208974643163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4-4934-B9EE-350657C2EA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'Données Energie'!$G$269:$R$269</c:f>
                <c:numCache>
                  <c:formatCode>General</c:formatCode>
                  <c:ptCount val="12"/>
                  <c:pt idx="0">
                    <c:v>48.332081250000002</c:v>
                  </c:pt>
                  <c:pt idx="1">
                    <c:v>51.2924145</c:v>
                  </c:pt>
                  <c:pt idx="2">
                    <c:v>44.4596825</c:v>
                  </c:pt>
                  <c:pt idx="3">
                    <c:v>48.030556999999995</c:v>
                  </c:pt>
                  <c:pt idx="4">
                    <c:v>52.060795499999998</c:v>
                  </c:pt>
                  <c:pt idx="5">
                    <c:v>42.129755000000003</c:v>
                  </c:pt>
                  <c:pt idx="6">
                    <c:v>45.327119500000002</c:v>
                  </c:pt>
                  <c:pt idx="7">
                    <c:v>42.15657925</c:v>
                  </c:pt>
                  <c:pt idx="8">
                    <c:v>43.115753750000003</c:v>
                  </c:pt>
                  <c:pt idx="9">
                    <c:v>39.300898500000002</c:v>
                  </c:pt>
                  <c:pt idx="10">
                    <c:v>40.884021250000004</c:v>
                  </c:pt>
                  <c:pt idx="11">
                    <c:v>25.426396</c:v>
                  </c:pt>
                </c:numCache>
              </c:numRef>
            </c:plus>
            <c:minus>
              <c:numRef>
                <c:f>'Données Energie'!$G$269:$R$269</c:f>
                <c:numCache>
                  <c:formatCode>General</c:formatCode>
                  <c:ptCount val="12"/>
                  <c:pt idx="0">
                    <c:v>48.332081250000002</c:v>
                  </c:pt>
                  <c:pt idx="1">
                    <c:v>51.2924145</c:v>
                  </c:pt>
                  <c:pt idx="2">
                    <c:v>44.4596825</c:v>
                  </c:pt>
                  <c:pt idx="3">
                    <c:v>48.030556999999995</c:v>
                  </c:pt>
                  <c:pt idx="4">
                    <c:v>52.060795499999998</c:v>
                  </c:pt>
                  <c:pt idx="5">
                    <c:v>42.129755000000003</c:v>
                  </c:pt>
                  <c:pt idx="6">
                    <c:v>45.327119500000002</c:v>
                  </c:pt>
                  <c:pt idx="7">
                    <c:v>42.15657925</c:v>
                  </c:pt>
                  <c:pt idx="8">
                    <c:v>43.115753750000003</c:v>
                  </c:pt>
                  <c:pt idx="9">
                    <c:v>39.300898500000002</c:v>
                  </c:pt>
                  <c:pt idx="10">
                    <c:v>40.884021250000004</c:v>
                  </c:pt>
                  <c:pt idx="11">
                    <c:v>25.426396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'Bilan Energie'!$B$6:$B$17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'Bilan Energie'!$H$6:$H$17</c:f>
              <c:numCache>
                <c:formatCode>#,##0</c:formatCode>
                <c:ptCount val="12"/>
                <c:pt idx="0">
                  <c:v>966.64162499999998</c:v>
                </c:pt>
                <c:pt idx="1">
                  <c:v>1025.8482899999999</c:v>
                </c:pt>
                <c:pt idx="2">
                  <c:v>889.19365000000005</c:v>
                </c:pt>
                <c:pt idx="3">
                  <c:v>960.61113999999975</c:v>
                </c:pt>
                <c:pt idx="4">
                  <c:v>1041.2159099999999</c:v>
                </c:pt>
                <c:pt idx="5">
                  <c:v>842.5951</c:v>
                </c:pt>
                <c:pt idx="6">
                  <c:v>906.54238999999984</c:v>
                </c:pt>
                <c:pt idx="7">
                  <c:v>843.13158499999997</c:v>
                </c:pt>
                <c:pt idx="8">
                  <c:v>862.31507500000009</c:v>
                </c:pt>
                <c:pt idx="9">
                  <c:v>786.01796999999999</c:v>
                </c:pt>
                <c:pt idx="10">
                  <c:v>817.68042500000001</c:v>
                </c:pt>
                <c:pt idx="11">
                  <c:v>508.52791999999999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4-4934-B9EE-350657C2E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087439"/>
        <c:axId val="1398092079"/>
      </c:lineChart>
      <c:catAx>
        <c:axId val="1386795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1034127"/>
        <c:crosses val="autoZero"/>
        <c:auto val="1"/>
        <c:lblAlgn val="ctr"/>
        <c:lblOffset val="100"/>
        <c:noMultiLvlLbl val="0"/>
      </c:catAx>
      <c:valAx>
        <c:axId val="1391034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consommation (MWh)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6795599"/>
        <c:crosses val="autoZero"/>
        <c:crossBetween val="midCat"/>
      </c:valAx>
      <c:valAx>
        <c:axId val="139809207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emission (tCO2e)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9087439"/>
        <c:crosses val="max"/>
        <c:crossBetween val="between"/>
      </c:valAx>
      <c:catAx>
        <c:axId val="12390874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80920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Energie - total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'Bilan Energie'!$C$4:$D$4</c:f>
              <c:strCache>
                <c:ptCount val="1"/>
                <c:pt idx="0">
                  <c:v>Chauffage</c:v>
                </c:pt>
              </c:strCache>
            </c:strRef>
          </c:tx>
          <c:spPr>
            <a:solidFill>
              <a:srgbClr val="DDAAFC"/>
            </a:solidFill>
          </c:spPr>
          <c:invertIfNegative val="0"/>
          <c:val>
            <c:numRef>
              <c:f>'Bilan Energie'!$D$6:$D$17</c:f>
              <c:numCache>
                <c:formatCode>#,##0</c:formatCode>
                <c:ptCount val="12"/>
                <c:pt idx="0">
                  <c:v>4368.4560000000001</c:v>
                </c:pt>
                <c:pt idx="1">
                  <c:v>5000.9160000000002</c:v>
                </c:pt>
                <c:pt idx="2">
                  <c:v>3778.8240000000001</c:v>
                </c:pt>
                <c:pt idx="3">
                  <c:v>4255.41</c:v>
                </c:pt>
                <c:pt idx="4">
                  <c:v>4822.3829999999998</c:v>
                </c:pt>
                <c:pt idx="5">
                  <c:v>3377.3114999999998</c:v>
                </c:pt>
                <c:pt idx="6">
                  <c:v>3781.4385000000002</c:v>
                </c:pt>
                <c:pt idx="7">
                  <c:v>3904.6387200000008</c:v>
                </c:pt>
                <c:pt idx="8">
                  <c:v>1460.5020766</c:v>
                </c:pt>
                <c:pt idx="9">
                  <c:v>1330.6548</c:v>
                </c:pt>
                <c:pt idx="10">
                  <c:v>1363.096</c:v>
                </c:pt>
                <c:pt idx="11">
                  <c:v>1287.2813600000002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4C5-416D-AA9F-A22C30F36CCB}"/>
            </c:ext>
          </c:extLst>
        </c:ser>
        <c:ser>
          <c:idx val="3"/>
          <c:order val="3"/>
          <c:tx>
            <c:strRef>
              <c:f>'Bilan Energie'!$E$4:$F$4</c:f>
              <c:strCache>
                <c:ptCount val="1"/>
                <c:pt idx="0">
                  <c:v>Electricité</c:v>
                </c:pt>
              </c:strCache>
            </c:strRef>
          </c:tx>
          <c:spPr>
            <a:solidFill>
              <a:srgbClr val="FF8F8F"/>
            </a:solidFill>
          </c:spPr>
          <c:invertIfNegative val="0"/>
          <c:val>
            <c:numRef>
              <c:f>'Bilan Energie'!$F$6:$F$17</c:f>
              <c:numCache>
                <c:formatCode>#,##0</c:formatCode>
                <c:ptCount val="12"/>
                <c:pt idx="0">
                  <c:v>1049.3996965000001</c:v>
                </c:pt>
                <c:pt idx="1">
                  <c:v>1078.9387755</c:v>
                </c:pt>
                <c:pt idx="2">
                  <c:v>1046.0318110000001</c:v>
                </c:pt>
                <c:pt idx="3">
                  <c:v>897.88967249999985</c:v>
                </c:pt>
                <c:pt idx="4">
                  <c:v>892.42794960000003</c:v>
                </c:pt>
                <c:pt idx="5">
                  <c:v>860.41789539999979</c:v>
                </c:pt>
                <c:pt idx="6">
                  <c:v>733.50335100000018</c:v>
                </c:pt>
                <c:pt idx="7">
                  <c:v>664.04414189999989</c:v>
                </c:pt>
                <c:pt idx="8">
                  <c:v>714.53963316599993</c:v>
                </c:pt>
                <c:pt idx="9">
                  <c:v>696.73245017049999</c:v>
                </c:pt>
                <c:pt idx="10">
                  <c:v>772.17549406700005</c:v>
                </c:pt>
                <c:pt idx="11">
                  <c:v>653.4400551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4C5-416D-AA9F-A22C30F36CCB}"/>
            </c:ext>
          </c:extLst>
        </c:ser>
        <c:ser>
          <c:idx val="4"/>
          <c:order val="4"/>
          <c:tx>
            <c:strRef>
              <c:f>'Bilan Energie'!$G$4:$H$4</c:f>
              <c:strCache>
                <c:ptCount val="1"/>
                <c:pt idx="0">
                  <c:v>Gaz</c:v>
                </c:pt>
              </c:strCache>
            </c:strRef>
          </c:tx>
          <c:spPr>
            <a:solidFill>
              <a:srgbClr val="FFD85D"/>
            </a:solidFill>
          </c:spPr>
          <c:invertIfNegative val="0"/>
          <c:val>
            <c:numRef>
              <c:f>'Bilan Energie'!$H$6:$H$17</c:f>
              <c:numCache>
                <c:formatCode>#,##0</c:formatCode>
                <c:ptCount val="12"/>
                <c:pt idx="0">
                  <c:v>966.64162499999998</c:v>
                </c:pt>
                <c:pt idx="1">
                  <c:v>1025.8482899999999</c:v>
                </c:pt>
                <c:pt idx="2">
                  <c:v>889.19365000000005</c:v>
                </c:pt>
                <c:pt idx="3">
                  <c:v>960.61113999999975</c:v>
                </c:pt>
                <c:pt idx="4">
                  <c:v>1041.2159099999999</c:v>
                </c:pt>
                <c:pt idx="5">
                  <c:v>842.5951</c:v>
                </c:pt>
                <c:pt idx="6">
                  <c:v>906.54238999999984</c:v>
                </c:pt>
                <c:pt idx="7">
                  <c:v>843.13158499999997</c:v>
                </c:pt>
                <c:pt idx="8">
                  <c:v>862.31507500000009</c:v>
                </c:pt>
                <c:pt idx="9">
                  <c:v>786.01796999999999</c:v>
                </c:pt>
                <c:pt idx="10">
                  <c:v>817.68042500000001</c:v>
                </c:pt>
                <c:pt idx="11">
                  <c:v>508.52791999999999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4C5-416D-AA9F-A22C30F3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6795599"/>
        <c:axId val="1391034127"/>
      </c:barChart>
      <c:lineChart>
        <c:grouping val="standard"/>
        <c:varyColors val="0"/>
        <c:ser>
          <c:idx val="1"/>
          <c:order val="1"/>
          <c:tx>
            <c:strRef>
              <c:f>'Bilan Energie'!$J$5</c:f>
              <c:strCache>
                <c:ptCount val="1"/>
                <c:pt idx="0">
                  <c:v>Emissions sous total (tCO2e)</c:v>
                </c:pt>
              </c:strCache>
            </c:strRef>
          </c:tx>
          <c:spPr>
            <a:ln w="28575">
              <a:solidFill>
                <a:schemeClr val="accent2">
                  <a:alpha val="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0" rIns="38100" bIns="28800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'Données Energie'!$G$420:$R$420</c:f>
                <c:numCache>
                  <c:formatCode>General</c:formatCode>
                  <c:ptCount val="12"/>
                  <c:pt idx="0">
                    <c:v>1315.6196606399355</c:v>
                  </c:pt>
                  <c:pt idx="1">
                    <c:v>1505.023746029628</c:v>
                  </c:pt>
                  <c:pt idx="2">
                    <c:v>1139.3307083248831</c:v>
                  </c:pt>
                  <c:pt idx="3">
                    <c:v>1280.677663260569</c:v>
                  </c:pt>
                  <c:pt idx="4">
                    <c:v>1450.3994638589659</c:v>
                  </c:pt>
                  <c:pt idx="5">
                    <c:v>1017.7126671740446</c:v>
                  </c:pt>
                  <c:pt idx="6">
                    <c:v>1137.7037228808083</c:v>
                  </c:pt>
                  <c:pt idx="7">
                    <c:v>1174.0294039899811</c:v>
                  </c:pt>
                  <c:pt idx="8">
                    <c:v>446.02758380266437</c:v>
                  </c:pt>
                  <c:pt idx="9">
                    <c:v>407.13231191197144</c:v>
                  </c:pt>
                  <c:pt idx="10">
                    <c:v>418.15884135025368</c:v>
                  </c:pt>
                  <c:pt idx="11">
                    <c:v>392.49807343724655</c:v>
                  </c:pt>
                </c:numCache>
              </c:numRef>
            </c:plus>
            <c:minus>
              <c:numRef>
                <c:f>'Données Energie'!$G$420:$R$420</c:f>
                <c:numCache>
                  <c:formatCode>General</c:formatCode>
                  <c:ptCount val="12"/>
                  <c:pt idx="0">
                    <c:v>1315.6196606399355</c:v>
                  </c:pt>
                  <c:pt idx="1">
                    <c:v>1505.023746029628</c:v>
                  </c:pt>
                  <c:pt idx="2">
                    <c:v>1139.3307083248831</c:v>
                  </c:pt>
                  <c:pt idx="3">
                    <c:v>1280.677663260569</c:v>
                  </c:pt>
                  <c:pt idx="4">
                    <c:v>1450.3994638589659</c:v>
                  </c:pt>
                  <c:pt idx="5">
                    <c:v>1017.7126671740446</c:v>
                  </c:pt>
                  <c:pt idx="6">
                    <c:v>1137.7037228808083</c:v>
                  </c:pt>
                  <c:pt idx="7">
                    <c:v>1174.0294039899811</c:v>
                  </c:pt>
                  <c:pt idx="8">
                    <c:v>446.02758380266437</c:v>
                  </c:pt>
                  <c:pt idx="9">
                    <c:v>407.13231191197144</c:v>
                  </c:pt>
                  <c:pt idx="10">
                    <c:v>418.15884135025368</c:v>
                  </c:pt>
                  <c:pt idx="11">
                    <c:v>392.49807343724655</c:v>
                  </c:pt>
                </c:numCache>
              </c:numRef>
            </c:minus>
          </c:errBars>
          <c:cat>
            <c:numRef>
              <c:f>'Bilan Energie'!$B$6:$B$17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'Bilan Energie'!$J$6:$J$17</c:f>
              <c:numCache>
                <c:formatCode>#,##0</c:formatCode>
                <c:ptCount val="12"/>
                <c:pt idx="0">
                  <c:v>6384.4973215000009</c:v>
                </c:pt>
                <c:pt idx="1">
                  <c:v>7105.7030654999999</c:v>
                </c:pt>
                <c:pt idx="2">
                  <c:v>5714.0494610000005</c:v>
                </c:pt>
                <c:pt idx="3">
                  <c:v>6113.9108124999993</c:v>
                </c:pt>
                <c:pt idx="4">
                  <c:v>6756.0268595999996</c:v>
                </c:pt>
                <c:pt idx="5">
                  <c:v>5080.3244954000002</c:v>
                </c:pt>
                <c:pt idx="6">
                  <c:v>5421.4842410000001</c:v>
                </c:pt>
                <c:pt idx="7">
                  <c:v>5411.8144469000008</c:v>
                </c:pt>
                <c:pt idx="8">
                  <c:v>3037.3567847660001</c:v>
                </c:pt>
                <c:pt idx="9">
                  <c:v>2813.4052201704999</c:v>
                </c:pt>
                <c:pt idx="10">
                  <c:v>2952.9519190670003</c:v>
                </c:pt>
                <c:pt idx="11">
                  <c:v>2449.2493351000003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C5-416D-AA9F-A22C30F36C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6795599"/>
        <c:axId val="139103412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'Bilan Energie'!$I$5</c15:sqref>
                        </c15:formulaRef>
                      </c:ext>
                    </c:extLst>
                    <c:strCache>
                      <c:ptCount val="1"/>
                      <c:pt idx="0">
                        <c:v>Consommation sous total (MWh)</c:v>
                      </c:pt>
                    </c:strCache>
                  </c:strRef>
                </c:tx>
                <c:spPr>
                  <a:ln w="28575"/>
                </c:spPr>
                <c:marker>
                  <c:symbol val="none"/>
                </c:marker>
                <c:dLbls>
                  <c:dLbl>
                    <c:idx val="0"/>
                    <c:layout>
                      <c:manualLayout>
                        <c:x val="-4.4473828776298921E-2"/>
                        <c:y val="3.152786746209967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F4C5-416D-AA9F-A22C30F36CCB}"/>
                      </c:ext>
                    </c:extLst>
                  </c:dLbl>
                  <c:dLbl>
                    <c:idx val="1"/>
                    <c:layout>
                      <c:manualLayout>
                        <c:x val="-4.6921809192455637E-2"/>
                        <c:y val="3.968780218262191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F4C5-416D-AA9F-A22C30F36CCB}"/>
                      </c:ext>
                    </c:extLst>
                  </c:dLbl>
                  <c:dLbl>
                    <c:idx val="2"/>
                    <c:layout>
                      <c:manualLayout>
                        <c:x val="-5.4265750440925603E-2"/>
                        <c:y val="1.9287965381316319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F4C5-416D-AA9F-A22C30F36CCB}"/>
                      </c:ext>
                    </c:extLst>
                  </c:dLbl>
                  <c:dLbl>
                    <c:idx val="3"/>
                    <c:layout>
                      <c:manualLayout>
                        <c:x val="-4.6921809192455637E-2"/>
                        <c:y val="3.968780218262191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F4C5-416D-AA9F-A22C30F36CCB}"/>
                      </c:ext>
                    </c:extLst>
                  </c:dLbl>
                  <c:dLbl>
                    <c:idx val="4"/>
                    <c:layout>
                      <c:manualLayout>
                        <c:x val="-4.6921809192455685E-2"/>
                        <c:y val="3.5607834822360789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F4C5-416D-AA9F-A22C30F36CCB}"/>
                      </c:ext>
                    </c:extLst>
                  </c:dLbl>
                  <c:dLbl>
                    <c:idx val="5"/>
                    <c:layout>
                      <c:manualLayout>
                        <c:x val="-3.4681907111672239E-2"/>
                        <c:y val="-3.783157766233933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F4C5-416D-AA9F-A22C30F36CC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'Bilan Energie'!$B$6:$B$17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'Bilan Energie'!$I$6:$I$17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35627.473999999995</c:v>
                      </c:pt>
                      <c:pt idx="1">
                        <c:v>38832.580999999998</c:v>
                      </c:pt>
                      <c:pt idx="2">
                        <c:v>32838.775999999998</c:v>
                      </c:pt>
                      <c:pt idx="3">
                        <c:v>33823.993000000002</c:v>
                      </c:pt>
                      <c:pt idx="4">
                        <c:v>36654.046000000002</c:v>
                      </c:pt>
                      <c:pt idx="5">
                        <c:v>29607.394</c:v>
                      </c:pt>
                      <c:pt idx="6">
                        <c:v>31653.047999999999</c:v>
                      </c:pt>
                      <c:pt idx="7">
                        <c:v>31383.02</c:v>
                      </c:pt>
                      <c:pt idx="8">
                        <c:v>31625.386769999997</c:v>
                      </c:pt>
                      <c:pt idx="9">
                        <c:v>29354.553355</c:v>
                      </c:pt>
                      <c:pt idx="10">
                        <c:v>30296.81381</c:v>
                      </c:pt>
                      <c:pt idx="11">
                        <c:v>26298.433000000001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4C5-416D-AA9F-A22C30F36CCB}"/>
                  </c:ext>
                </c:extLst>
              </c15:ser>
            </c15:filteredLineSeries>
          </c:ext>
        </c:extLst>
      </c:lineChart>
      <c:catAx>
        <c:axId val="1386795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1034127"/>
        <c:crosses val="autoZero"/>
        <c:auto val="1"/>
        <c:lblAlgn val="ctr"/>
        <c:lblOffset val="100"/>
        <c:noMultiLvlLbl val="0"/>
      </c:catAx>
      <c:valAx>
        <c:axId val="1391034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émissions (tCO2e)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6795599"/>
        <c:crosses val="autoZero"/>
        <c:crossBetween val="between"/>
      </c:valAx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Conso Chauffage</a:t>
            </a:r>
            <a:r>
              <a:rPr lang="fr-FR" baseline="0"/>
              <a:t> DJU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'Données Energie'!$G$27:$R$27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'Données Energie'!$G$363:$R$363</c:f>
              <c:numCache>
                <c:formatCode>#,##0</c:formatCode>
                <c:ptCount val="12"/>
                <c:pt idx="0">
                  <c:v>17455332.936942574</c:v>
                </c:pt>
                <c:pt idx="1">
                  <c:v>17368560.52768774</c:v>
                </c:pt>
                <c:pt idx="2">
                  <c:v>17241826.842559781</c:v>
                </c:pt>
                <c:pt idx="3">
                  <c:v>16692381.096234094</c:v>
                </c:pt>
                <c:pt idx="4">
                  <c:v>16892472.906426463</c:v>
                </c:pt>
                <c:pt idx="5">
                  <c:v>16677216.948660929</c:v>
                </c:pt>
                <c:pt idx="6">
                  <c:v>16262901.319224184</c:v>
                </c:pt>
                <c:pt idx="7">
                  <c:v>15275764.861891994</c:v>
                </c:pt>
                <c:pt idx="8">
                  <c:v>14778206.071675722</c:v>
                </c:pt>
                <c:pt idx="9">
                  <c:v>14998317.116958547</c:v>
                </c:pt>
                <c:pt idx="10">
                  <c:v>15009223.086458905</c:v>
                </c:pt>
                <c:pt idx="11">
                  <c:v>15587287.658287657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CAE-485B-8013-E341A6910C6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01588047"/>
        <c:axId val="1301608847"/>
      </c:lineChart>
      <c:catAx>
        <c:axId val="130158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1608847"/>
        <c:crosses val="autoZero"/>
        <c:auto val="1"/>
        <c:lblAlgn val="ctr"/>
        <c:lblOffset val="100"/>
        <c:noMultiLvlLbl val="0"/>
      </c:catAx>
      <c:valAx>
        <c:axId val="1301608847"/>
        <c:scaling>
          <c:orientation val="minMax"/>
          <c:min val="1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Consommation DJU (GWh)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1588047"/>
        <c:crosses val="autoZero"/>
        <c:crossBetween val="midCat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Eau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Consommation</c:v>
          </c:tx>
          <c:marker>
            <c:symbol val="none"/>
          </c:marker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216000" tIns="0" rIns="38100" bIns="39600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'Bilan Energie'!$B$6:$B$17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'Bilan Energie'!$L$6:$L$17</c:f>
              <c:numCache>
                <c:formatCode>#,##0</c:formatCode>
                <c:ptCount val="12"/>
                <c:pt idx="0">
                  <c:v>207.23599999999999</c:v>
                </c:pt>
                <c:pt idx="1">
                  <c:v>197.22200000000001</c:v>
                </c:pt>
                <c:pt idx="2">
                  <c:v>191.49600000000001</c:v>
                </c:pt>
                <c:pt idx="3">
                  <c:v>177.392</c:v>
                </c:pt>
                <c:pt idx="4">
                  <c:v>173.87100000000001</c:v>
                </c:pt>
                <c:pt idx="5">
                  <c:v>168.6995</c:v>
                </c:pt>
                <c:pt idx="6">
                  <c:v>163.86250000000001</c:v>
                </c:pt>
                <c:pt idx="7">
                  <c:v>155.23849999999999</c:v>
                </c:pt>
                <c:pt idx="8">
                  <c:v>156.01900000000001</c:v>
                </c:pt>
                <c:pt idx="9">
                  <c:v>164.17099999999999</c:v>
                </c:pt>
                <c:pt idx="10">
                  <c:v>145.07400000000001</c:v>
                </c:pt>
                <c:pt idx="11">
                  <c:v>115.062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1-4DE6-9265-F03512B91C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4066047"/>
        <c:axId val="1398089999"/>
      </c:lineChart>
      <c:lineChart>
        <c:grouping val="standard"/>
        <c:varyColors val="0"/>
        <c:ser>
          <c:idx val="1"/>
          <c:order val="1"/>
          <c:tx>
            <c:v>Emissions</c:v>
          </c:tx>
          <c:marker>
            <c:symbol val="none"/>
          </c:marker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6000" tIns="19050" rIns="2520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'Données Energie'!$G$236:$R$236</c:f>
                <c:numCache>
                  <c:formatCode>General</c:formatCode>
                  <c:ptCount val="12"/>
                  <c:pt idx="0">
                    <c:v>3.0090667199999999</c:v>
                  </c:pt>
                  <c:pt idx="1">
                    <c:v>2.8636634399999998</c:v>
                  </c:pt>
                  <c:pt idx="2">
                    <c:v>2.78052192</c:v>
                  </c:pt>
                  <c:pt idx="3">
                    <c:v>2.5757318400000004</c:v>
                  </c:pt>
                  <c:pt idx="4">
                    <c:v>2.5246069200000001</c:v>
                  </c:pt>
                  <c:pt idx="5">
                    <c:v>2.4495167400000004</c:v>
                  </c:pt>
                  <c:pt idx="6">
                    <c:v>2.3792835000000001</c:v>
                  </c:pt>
                  <c:pt idx="7">
                    <c:v>2.2540630200000003</c:v>
                  </c:pt>
                  <c:pt idx="8">
                    <c:v>2.2653958799999994</c:v>
                  </c:pt>
                  <c:pt idx="9">
                    <c:v>2.3837629200000001</c:v>
                  </c:pt>
                  <c:pt idx="10">
                    <c:v>2.1064744799999997</c:v>
                  </c:pt>
                  <c:pt idx="11">
                    <c:v>1.6707002399999999</c:v>
                  </c:pt>
                </c:numCache>
              </c:numRef>
            </c:plus>
            <c:minus>
              <c:numRef>
                <c:f>'Données Energie'!$G$236:$R$236</c:f>
                <c:numCache>
                  <c:formatCode>General</c:formatCode>
                  <c:ptCount val="12"/>
                  <c:pt idx="0">
                    <c:v>3.0090667199999999</c:v>
                  </c:pt>
                  <c:pt idx="1">
                    <c:v>2.8636634399999998</c:v>
                  </c:pt>
                  <c:pt idx="2">
                    <c:v>2.78052192</c:v>
                  </c:pt>
                  <c:pt idx="3">
                    <c:v>2.5757318400000004</c:v>
                  </c:pt>
                  <c:pt idx="4">
                    <c:v>2.5246069200000001</c:v>
                  </c:pt>
                  <c:pt idx="5">
                    <c:v>2.4495167400000004</c:v>
                  </c:pt>
                  <c:pt idx="6">
                    <c:v>2.3792835000000001</c:v>
                  </c:pt>
                  <c:pt idx="7">
                    <c:v>2.2540630200000003</c:v>
                  </c:pt>
                  <c:pt idx="8">
                    <c:v>2.2653958799999994</c:v>
                  </c:pt>
                  <c:pt idx="9">
                    <c:v>2.3837629200000001</c:v>
                  </c:pt>
                  <c:pt idx="10">
                    <c:v>2.1064744799999997</c:v>
                  </c:pt>
                  <c:pt idx="11">
                    <c:v>1.6707002399999999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'Bilan Energie'!$B$6:$B$17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'Bilan Energie'!$M$6:$M$17</c:f>
              <c:numCache>
                <c:formatCode>#,##0</c:formatCode>
                <c:ptCount val="12"/>
                <c:pt idx="0">
                  <c:v>27.355151999999997</c:v>
                </c:pt>
                <c:pt idx="1">
                  <c:v>26.033303999999998</c:v>
                </c:pt>
                <c:pt idx="2">
                  <c:v>25.277472000000003</c:v>
                </c:pt>
                <c:pt idx="3">
                  <c:v>23.415744000000004</c:v>
                </c:pt>
                <c:pt idx="4">
                  <c:v>22.950972</c:v>
                </c:pt>
                <c:pt idx="5">
                  <c:v>22.268334000000003</c:v>
                </c:pt>
                <c:pt idx="6">
                  <c:v>21.629849999999998</c:v>
                </c:pt>
                <c:pt idx="7">
                  <c:v>20.491482000000001</c:v>
                </c:pt>
                <c:pt idx="8">
                  <c:v>20.594507999999998</c:v>
                </c:pt>
                <c:pt idx="9">
                  <c:v>21.670572</c:v>
                </c:pt>
                <c:pt idx="10">
                  <c:v>19.149768000000002</c:v>
                </c:pt>
                <c:pt idx="11">
                  <c:v>15.188184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51-4DE6-9265-F03512B91C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8796799"/>
        <c:axId val="1391031631"/>
      </c:lineChart>
      <c:catAx>
        <c:axId val="1384066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8089999"/>
        <c:crosses val="autoZero"/>
        <c:auto val="1"/>
        <c:lblAlgn val="ctr"/>
        <c:lblOffset val="100"/>
        <c:noMultiLvlLbl val="0"/>
      </c:catAx>
      <c:valAx>
        <c:axId val="1398089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consommation (milliers de 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4066047"/>
        <c:crosses val="autoZero"/>
        <c:crossBetween val="midCat"/>
      </c:valAx>
      <c:valAx>
        <c:axId val="139103163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emission (tCO2e)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8796799"/>
        <c:crosses val="max"/>
        <c:crossBetween val="between"/>
      </c:valAx>
      <c:catAx>
        <c:axId val="12387967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10316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Emissions Carburant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Emissions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'Bilan Energie'!$B$12:$B$17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'Bilan Energie'!$N$12:$N$17</c:f>
              <c:numCache>
                <c:formatCode>#\ ##0.0</c:formatCode>
                <c:ptCount val="6"/>
                <c:pt idx="0">
                  <c:v>21.551279999999998</c:v>
                </c:pt>
                <c:pt idx="1">
                  <c:v>20.618830000000003</c:v>
                </c:pt>
                <c:pt idx="2">
                  <c:v>21.64536</c:v>
                </c:pt>
                <c:pt idx="3">
                  <c:v>22.106809999999999</c:v>
                </c:pt>
                <c:pt idx="4">
                  <c:v>21.142103599999995</c:v>
                </c:pt>
                <c:pt idx="5">
                  <c:v>15.82286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C0-4548-A988-B56350C786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84066047"/>
        <c:axId val="1398089999"/>
      </c:lineChart>
      <c:catAx>
        <c:axId val="1384066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8089999"/>
        <c:crosses val="autoZero"/>
        <c:auto val="1"/>
        <c:lblAlgn val="ctr"/>
        <c:lblOffset val="100"/>
        <c:noMultiLvlLbl val="0"/>
      </c:catAx>
      <c:valAx>
        <c:axId val="1398089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consommation (tCO2)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4066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Consommations</a:t>
            </a:r>
            <a:r>
              <a:rPr lang="fr-FR" baseline="0"/>
              <a:t> carburants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essence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6938439602672383E-2"/>
                  <c:y val="2.144617988483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36-4554-A654-38E0F2CA2392}"/>
                </c:ext>
              </c:extLst>
            </c:dLbl>
            <c:dLbl>
              <c:idx val="2"/>
              <c:layout>
                <c:manualLayout>
                  <c:x val="-4.6938439602672431E-2"/>
                  <c:y val="-2.5281932409809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36-4554-A654-38E0F2CA2392}"/>
                </c:ext>
              </c:extLst>
            </c:dLbl>
            <c:dLbl>
              <c:idx val="5"/>
              <c:layout>
                <c:manualLayout>
                  <c:x val="-3.6864451314675396E-2"/>
                  <c:y val="-5.2539997915018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36-4554-A654-38E0F2CA23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'Bilan Energie'!$B$12:$B$17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'Données Energie'!$M$410:$R$410</c:f>
              <c:numCache>
                <c:formatCode>#,##0</c:formatCode>
                <c:ptCount val="6"/>
                <c:pt idx="0">
                  <c:v>4415</c:v>
                </c:pt>
                <c:pt idx="1">
                  <c:v>3188</c:v>
                </c:pt>
                <c:pt idx="2">
                  <c:v>3548</c:v>
                </c:pt>
                <c:pt idx="3">
                  <c:v>2770</c:v>
                </c:pt>
                <c:pt idx="4">
                  <c:v>3735.7199999999993</c:v>
                </c:pt>
                <c:pt idx="5">
                  <c:v>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6-4554-A654-38E0F2CA2392}"/>
            </c:ext>
          </c:extLst>
        </c:ser>
        <c:ser>
          <c:idx val="1"/>
          <c:order val="1"/>
          <c:tx>
            <c:v>diesel</c:v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4.9456936674671749E-2"/>
                  <c:y val="-2.9234198600609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36-4554-A654-38E0F2CA2392}"/>
                </c:ext>
              </c:extLst>
            </c:dLbl>
            <c:dLbl>
              <c:idx val="5"/>
              <c:layout>
                <c:manualLayout>
                  <c:x val="-3.9382948386674575E-2"/>
                  <c:y val="2.9175941767696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36-4554-A654-38E0F2CA23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'Bilan Energie'!$B$12:$B$17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'Données Energie'!$M$411:$R$411</c:f>
              <c:numCache>
                <c:formatCode>#,##0</c:formatCode>
                <c:ptCount val="6"/>
                <c:pt idx="0">
                  <c:v>1045</c:v>
                </c:pt>
                <c:pt idx="1">
                  <c:v>2079</c:v>
                </c:pt>
                <c:pt idx="2">
                  <c:v>2372</c:v>
                </c:pt>
                <c:pt idx="3">
                  <c:v>2615</c:v>
                </c:pt>
                <c:pt idx="4">
                  <c:v>2549.8599999999997</c:v>
                </c:pt>
                <c:pt idx="5">
                  <c:v>2124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36-4554-A654-38E0F2CA239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15394464"/>
        <c:axId val="815398624"/>
      </c:lineChart>
      <c:lineChart>
        <c:grouping val="standard"/>
        <c:varyColors val="0"/>
        <c:ser>
          <c:idx val="2"/>
          <c:order val="2"/>
          <c:tx>
            <c:v>GNV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088127566834365E-2"/>
                  <c:y val="5.2598254747931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36-4554-A654-38E0F2CA2392}"/>
                </c:ext>
              </c:extLst>
            </c:dLbl>
            <c:dLbl>
              <c:idx val="2"/>
              <c:layout>
                <c:manualLayout>
                  <c:x val="-4.764361878283218E-2"/>
                  <c:y val="2.5340189242722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36-4554-A654-38E0F2CA2392}"/>
                </c:ext>
              </c:extLst>
            </c:dLbl>
            <c:dLbl>
              <c:idx val="5"/>
              <c:layout>
                <c:manualLayout>
                  <c:x val="-4.6938439602672473E-2"/>
                  <c:y val="3.7022217316383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36-4554-A654-38E0F2CA23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'Bilan Energie'!$B$12:$B$17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'Données Energie'!$M$412:$R$412</c:f>
              <c:numCache>
                <c:formatCode>#,##0</c:formatCode>
                <c:ptCount val="6"/>
                <c:pt idx="0">
                  <c:v>25596</c:v>
                </c:pt>
                <c:pt idx="1">
                  <c:v>22273</c:v>
                </c:pt>
                <c:pt idx="2">
                  <c:v>18328</c:v>
                </c:pt>
                <c:pt idx="3">
                  <c:v>26467</c:v>
                </c:pt>
                <c:pt idx="4">
                  <c:v>11411</c:v>
                </c:pt>
                <c:pt idx="5">
                  <c:v>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36-4554-A654-38E0F2CA239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6863424"/>
        <c:axId val="446848448"/>
      </c:lineChart>
      <c:catAx>
        <c:axId val="815394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5398624"/>
        <c:crosses val="autoZero"/>
        <c:auto val="1"/>
        <c:lblAlgn val="ctr"/>
        <c:lblOffset val="100"/>
        <c:noMultiLvlLbl val="0"/>
      </c:catAx>
      <c:valAx>
        <c:axId val="81539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litres</a:t>
                </a:r>
                <a:r>
                  <a:rPr lang="fr-FR" baseline="0"/>
                  <a:t> consommés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5394464"/>
        <c:crosses val="autoZero"/>
        <c:crossBetween val="midCat"/>
      </c:valAx>
      <c:valAx>
        <c:axId val="4468484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kWh consommés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863424"/>
        <c:crosses val="max"/>
        <c:crossBetween val="between"/>
      </c:valAx>
      <c:catAx>
        <c:axId val="446863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6848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Evolution des émissions GES du secteur énergie à l'INSA entre 2009 et 2019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449933326416187"/>
          <c:y val="0.28112980607404281"/>
          <c:w val="0.52058693450720239"/>
          <c:h val="0.55497528721519707"/>
        </c:manualLayout>
      </c:layout>
      <c:areaChart>
        <c:grouping val="stacked"/>
        <c:varyColors val="0"/>
        <c:ser>
          <c:idx val="0"/>
          <c:order val="0"/>
          <c:tx>
            <c:v>Electricité</c:v>
          </c:tx>
          <c:spPr>
            <a:solidFill>
              <a:srgbClr val="92D050"/>
            </a:solidFill>
            <a:ln>
              <a:solidFill>
                <a:schemeClr val="tx1">
                  <a:alpha val="50000"/>
                </a:schemeClr>
              </a:solidFill>
            </a:ln>
          </c:spPr>
          <c:val>
            <c:numRef>
              <c:f>'Données Energie'!$F$432:$F$442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'Bilan 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C5D-4972-AB91-DFBB09950AB2}"/>
            </c:ext>
          </c:extLst>
        </c:ser>
        <c:ser>
          <c:idx val="2"/>
          <c:order val="1"/>
          <c:tx>
            <c:v>Gaz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>
                  <a:alpha val="50000"/>
                </a:schemeClr>
              </a:solidFill>
            </a:ln>
          </c:spPr>
          <c:val>
            <c:numRef>
              <c:f>'Données Energie'!$H$432:$H$442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'Bilan 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C5D-4972-AB91-DFBB09950AB2}"/>
            </c:ext>
          </c:extLst>
        </c:ser>
        <c:ser>
          <c:idx val="1"/>
          <c:order val="2"/>
          <c:tx>
            <c:v>Chauffage urbain LTLD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>
                  <a:alpha val="50000"/>
                </a:schemeClr>
              </a:solidFill>
            </a:ln>
          </c:spPr>
          <c:val>
            <c:numRef>
              <c:f>'Données Energie'!$D$432:$D$442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'Bilan 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C5D-4972-AB91-DFBB09950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932640"/>
        <c:axId val="1"/>
      </c:areaChart>
      <c:catAx>
        <c:axId val="6529326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Année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Emissions GES (TCO2eq)</a:t>
                </a:r>
              </a:p>
            </c:rich>
          </c:tx>
          <c:layout>
            <c:manualLayout>
              <c:xMode val="edge"/>
              <c:yMode val="edge"/>
              <c:x val="6.4007104375111007E-2"/>
              <c:y val="0.490607083205508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6529326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263780923912089"/>
          <c:y val="0.48258867663496574"/>
          <c:w val="0.16336069970705949"/>
          <c:h val="0.2089559218419439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Comparaison</a:t>
            </a:r>
            <a:r>
              <a:rPr lang="fr-FR" baseline="0"/>
              <a:t> des émissions de 2017 à 2019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Emissions 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'Données Alimentaire'!$C$14:$C$46</c:f>
              <c:strCache>
                <c:ptCount val="33"/>
                <c:pt idx="0">
                  <c:v>Bœuf</c:v>
                </c:pt>
                <c:pt idx="1">
                  <c:v>Agneau</c:v>
                </c:pt>
                <c:pt idx="2">
                  <c:v>Poulet</c:v>
                </c:pt>
                <c:pt idx="3">
                  <c:v>Veau</c:v>
                </c:pt>
                <c:pt idx="4">
                  <c:v>Dinde</c:v>
                </c:pt>
                <c:pt idx="5">
                  <c:v>Porc</c:v>
                </c:pt>
                <c:pt idx="6">
                  <c:v>Canard</c:v>
                </c:pt>
                <c:pt idx="7">
                  <c:v>Poisson</c:v>
                </c:pt>
                <c:pt idx="8">
                  <c:v>Légumes</c:v>
                </c:pt>
                <c:pt idx="9">
                  <c:v>Poisson Cons.</c:v>
                </c:pt>
                <c:pt idx="10">
                  <c:v>Légumes Cons.</c:v>
                </c:pt>
                <c:pt idx="11">
                  <c:v>Fruits Cons.</c:v>
                </c:pt>
                <c:pt idx="12">
                  <c:v>Bœuf</c:v>
                </c:pt>
                <c:pt idx="13">
                  <c:v>Agneau</c:v>
                </c:pt>
                <c:pt idx="14">
                  <c:v>Poulet</c:v>
                </c:pt>
                <c:pt idx="15">
                  <c:v>Veau</c:v>
                </c:pt>
                <c:pt idx="16">
                  <c:v>Dinde</c:v>
                </c:pt>
                <c:pt idx="17">
                  <c:v>Canard/canette</c:v>
                </c:pt>
                <c:pt idx="18">
                  <c:v>Porc</c:v>
                </c:pt>
                <c:pt idx="19">
                  <c:v>Poisson</c:v>
                </c:pt>
                <c:pt idx="20">
                  <c:v>Saumon</c:v>
                </c:pt>
                <c:pt idx="21">
                  <c:v>Légumes</c:v>
                </c:pt>
                <c:pt idx="22">
                  <c:v>Fruits</c:v>
                </c:pt>
                <c:pt idx="23">
                  <c:v>Farine et féculents</c:v>
                </c:pt>
                <c:pt idx="24">
                  <c:v>Frites fraiche</c:v>
                </c:pt>
                <c:pt idx="25">
                  <c:v>Yaourt</c:v>
                </c:pt>
                <c:pt idx="26">
                  <c:v>Beurre</c:v>
                </c:pt>
                <c:pt idx="27">
                  <c:v>Œuf</c:v>
                </c:pt>
                <c:pt idx="28">
                  <c:v>Lait</c:v>
                </c:pt>
                <c:pt idx="29">
                  <c:v>Crème</c:v>
                </c:pt>
                <c:pt idx="30">
                  <c:v>Fromage</c:v>
                </c:pt>
                <c:pt idx="31">
                  <c:v>Pain</c:v>
                </c:pt>
                <c:pt idx="32">
                  <c:v>Vin (litre)</c:v>
                </c:pt>
              </c:strCache>
            </c:strRef>
          </c:cat>
          <c:val>
            <c:numRef>
              <c:f>'Données Alimentaire'!$M$14:$M$46</c:f>
              <c:numCache>
                <c:formatCode>#,##0</c:formatCode>
                <c:ptCount val="33"/>
                <c:pt idx="0">
                  <c:v>140088</c:v>
                </c:pt>
                <c:pt idx="1">
                  <c:v>13267.5</c:v>
                </c:pt>
                <c:pt idx="2">
                  <c:v>3343.1</c:v>
                </c:pt>
                <c:pt idx="3">
                  <c:v>38131</c:v>
                </c:pt>
                <c:pt idx="4">
                  <c:v>37222.519999999997</c:v>
                </c:pt>
                <c:pt idx="5">
                  <c:v>540</c:v>
                </c:pt>
                <c:pt idx="6">
                  <c:v>6710</c:v>
                </c:pt>
                <c:pt idx="7">
                  <c:v>69961.5</c:v>
                </c:pt>
                <c:pt idx="8">
                  <c:v>60302</c:v>
                </c:pt>
                <c:pt idx="9">
                  <c:v>13415</c:v>
                </c:pt>
                <c:pt idx="10">
                  <c:v>18014</c:v>
                </c:pt>
                <c:pt idx="11">
                  <c:v>1587</c:v>
                </c:pt>
                <c:pt idx="12">
                  <c:v>57315.600000000006</c:v>
                </c:pt>
                <c:pt idx="13">
                  <c:v>6612</c:v>
                </c:pt>
                <c:pt idx="14">
                  <c:v>109452</c:v>
                </c:pt>
                <c:pt idx="15">
                  <c:v>5093.5</c:v>
                </c:pt>
                <c:pt idx="16">
                  <c:v>48750.39</c:v>
                </c:pt>
                <c:pt idx="18">
                  <c:v>52029</c:v>
                </c:pt>
                <c:pt idx="20">
                  <c:v>4241.1000000000004</c:v>
                </c:pt>
                <c:pt idx="21">
                  <c:v>3200</c:v>
                </c:pt>
                <c:pt idx="22">
                  <c:v>28367</c:v>
                </c:pt>
                <c:pt idx="23">
                  <c:v>13111</c:v>
                </c:pt>
                <c:pt idx="24">
                  <c:v>8370</c:v>
                </c:pt>
                <c:pt idx="25">
                  <c:v>100500</c:v>
                </c:pt>
                <c:pt idx="26">
                  <c:v>73594</c:v>
                </c:pt>
                <c:pt idx="27">
                  <c:v>21672.5</c:v>
                </c:pt>
                <c:pt idx="28">
                  <c:v>11350.82</c:v>
                </c:pt>
                <c:pt idx="29">
                  <c:v>38206.200000000004</c:v>
                </c:pt>
                <c:pt idx="30">
                  <c:v>44614.8</c:v>
                </c:pt>
                <c:pt idx="31">
                  <c:v>22014</c:v>
                </c:pt>
                <c:pt idx="32">
                  <c:v>4035.5999999999995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4-4620-897E-6F7646394338}"/>
            </c:ext>
          </c:extLst>
        </c:ser>
        <c:ser>
          <c:idx val="1"/>
          <c:order val="1"/>
          <c:tx>
            <c:v>Emissions 2018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'Données Alimentaire'!$C$14:$C$46</c:f>
              <c:strCache>
                <c:ptCount val="33"/>
                <c:pt idx="0">
                  <c:v>Bœuf</c:v>
                </c:pt>
                <c:pt idx="1">
                  <c:v>Agneau</c:v>
                </c:pt>
                <c:pt idx="2">
                  <c:v>Poulet</c:v>
                </c:pt>
                <c:pt idx="3">
                  <c:v>Veau</c:v>
                </c:pt>
                <c:pt idx="4">
                  <c:v>Dinde</c:v>
                </c:pt>
                <c:pt idx="5">
                  <c:v>Porc</c:v>
                </c:pt>
                <c:pt idx="6">
                  <c:v>Canard</c:v>
                </c:pt>
                <c:pt idx="7">
                  <c:v>Poisson</c:v>
                </c:pt>
                <c:pt idx="8">
                  <c:v>Légumes</c:v>
                </c:pt>
                <c:pt idx="9">
                  <c:v>Poisson Cons.</c:v>
                </c:pt>
                <c:pt idx="10">
                  <c:v>Légumes Cons.</c:v>
                </c:pt>
                <c:pt idx="11">
                  <c:v>Fruits Cons.</c:v>
                </c:pt>
                <c:pt idx="12">
                  <c:v>Bœuf</c:v>
                </c:pt>
                <c:pt idx="13">
                  <c:v>Agneau</c:v>
                </c:pt>
                <c:pt idx="14">
                  <c:v>Poulet</c:v>
                </c:pt>
                <c:pt idx="15">
                  <c:v>Veau</c:v>
                </c:pt>
                <c:pt idx="16">
                  <c:v>Dinde</c:v>
                </c:pt>
                <c:pt idx="17">
                  <c:v>Canard/canette</c:v>
                </c:pt>
                <c:pt idx="18">
                  <c:v>Porc</c:v>
                </c:pt>
                <c:pt idx="19">
                  <c:v>Poisson</c:v>
                </c:pt>
                <c:pt idx="20">
                  <c:v>Saumon</c:v>
                </c:pt>
                <c:pt idx="21">
                  <c:v>Légumes</c:v>
                </c:pt>
                <c:pt idx="22">
                  <c:v>Fruits</c:v>
                </c:pt>
                <c:pt idx="23">
                  <c:v>Farine et féculents</c:v>
                </c:pt>
                <c:pt idx="24">
                  <c:v>Frites fraiche</c:v>
                </c:pt>
                <c:pt idx="25">
                  <c:v>Yaourt</c:v>
                </c:pt>
                <c:pt idx="26">
                  <c:v>Beurre</c:v>
                </c:pt>
                <c:pt idx="27">
                  <c:v>Œuf</c:v>
                </c:pt>
                <c:pt idx="28">
                  <c:v>Lait</c:v>
                </c:pt>
                <c:pt idx="29">
                  <c:v>Crème</c:v>
                </c:pt>
                <c:pt idx="30">
                  <c:v>Fromage</c:v>
                </c:pt>
                <c:pt idx="31">
                  <c:v>Pain</c:v>
                </c:pt>
                <c:pt idx="32">
                  <c:v>Vin (litre)</c:v>
                </c:pt>
              </c:strCache>
            </c:strRef>
          </c:cat>
          <c:val>
            <c:numRef>
              <c:f>'Données Alimentaire'!$O$14:$O$46</c:f>
              <c:numCache>
                <c:formatCode>#,##0</c:formatCode>
                <c:ptCount val="33"/>
                <c:pt idx="0">
                  <c:v>165464</c:v>
                </c:pt>
                <c:pt idx="1">
                  <c:v>33712.5</c:v>
                </c:pt>
                <c:pt idx="2">
                  <c:v>4832.6000000000004</c:v>
                </c:pt>
                <c:pt idx="3">
                  <c:v>26605</c:v>
                </c:pt>
                <c:pt idx="4">
                  <c:v>33333.599999999999</c:v>
                </c:pt>
                <c:pt idx="5">
                  <c:v>472.5</c:v>
                </c:pt>
                <c:pt idx="6">
                  <c:v>4664</c:v>
                </c:pt>
                <c:pt idx="7">
                  <c:v>59287.5</c:v>
                </c:pt>
                <c:pt idx="8">
                  <c:v>53719</c:v>
                </c:pt>
                <c:pt idx="9">
                  <c:v>18415</c:v>
                </c:pt>
                <c:pt idx="10">
                  <c:v>14467</c:v>
                </c:pt>
                <c:pt idx="11">
                  <c:v>1669</c:v>
                </c:pt>
                <c:pt idx="12">
                  <c:v>76942.8</c:v>
                </c:pt>
                <c:pt idx="13">
                  <c:v>1174.5</c:v>
                </c:pt>
                <c:pt idx="14">
                  <c:v>93303</c:v>
                </c:pt>
                <c:pt idx="15">
                  <c:v>13977.9</c:v>
                </c:pt>
                <c:pt idx="16">
                  <c:v>52696.5</c:v>
                </c:pt>
                <c:pt idx="18">
                  <c:v>43767</c:v>
                </c:pt>
                <c:pt idx="20">
                  <c:v>5567.7</c:v>
                </c:pt>
                <c:pt idx="21">
                  <c:v>2950</c:v>
                </c:pt>
                <c:pt idx="22">
                  <c:v>25860</c:v>
                </c:pt>
                <c:pt idx="23">
                  <c:v>11960.5</c:v>
                </c:pt>
                <c:pt idx="24">
                  <c:v>5480</c:v>
                </c:pt>
                <c:pt idx="25">
                  <c:v>113000</c:v>
                </c:pt>
                <c:pt idx="26">
                  <c:v>78864</c:v>
                </c:pt>
                <c:pt idx="27">
                  <c:v>21162.5</c:v>
                </c:pt>
                <c:pt idx="28">
                  <c:v>11250.99</c:v>
                </c:pt>
                <c:pt idx="29">
                  <c:v>38132.200000000004</c:v>
                </c:pt>
                <c:pt idx="30">
                  <c:v>43902</c:v>
                </c:pt>
                <c:pt idx="31">
                  <c:v>14964</c:v>
                </c:pt>
                <c:pt idx="32">
                  <c:v>4195.2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4-4620-897E-6F7646394338}"/>
            </c:ext>
          </c:extLst>
        </c:ser>
        <c:ser>
          <c:idx val="2"/>
          <c:order val="2"/>
          <c:tx>
            <c:v>Emissions 2019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'Données Alimentaire'!$C$14:$C$46</c:f>
              <c:strCache>
                <c:ptCount val="33"/>
                <c:pt idx="0">
                  <c:v>Bœuf</c:v>
                </c:pt>
                <c:pt idx="1">
                  <c:v>Agneau</c:v>
                </c:pt>
                <c:pt idx="2">
                  <c:v>Poulet</c:v>
                </c:pt>
                <c:pt idx="3">
                  <c:v>Veau</c:v>
                </c:pt>
                <c:pt idx="4">
                  <c:v>Dinde</c:v>
                </c:pt>
                <c:pt idx="5">
                  <c:v>Porc</c:v>
                </c:pt>
                <c:pt idx="6">
                  <c:v>Canard</c:v>
                </c:pt>
                <c:pt idx="7">
                  <c:v>Poisson</c:v>
                </c:pt>
                <c:pt idx="8">
                  <c:v>Légumes</c:v>
                </c:pt>
                <c:pt idx="9">
                  <c:v>Poisson Cons.</c:v>
                </c:pt>
                <c:pt idx="10">
                  <c:v>Légumes Cons.</c:v>
                </c:pt>
                <c:pt idx="11">
                  <c:v>Fruits Cons.</c:v>
                </c:pt>
                <c:pt idx="12">
                  <c:v>Bœuf</c:v>
                </c:pt>
                <c:pt idx="13">
                  <c:v>Agneau</c:v>
                </c:pt>
                <c:pt idx="14">
                  <c:v>Poulet</c:v>
                </c:pt>
                <c:pt idx="15">
                  <c:v>Veau</c:v>
                </c:pt>
                <c:pt idx="16">
                  <c:v>Dinde</c:v>
                </c:pt>
                <c:pt idx="17">
                  <c:v>Canard/canette</c:v>
                </c:pt>
                <c:pt idx="18">
                  <c:v>Porc</c:v>
                </c:pt>
                <c:pt idx="19">
                  <c:v>Poisson</c:v>
                </c:pt>
                <c:pt idx="20">
                  <c:v>Saumon</c:v>
                </c:pt>
                <c:pt idx="21">
                  <c:v>Légumes</c:v>
                </c:pt>
                <c:pt idx="22">
                  <c:v>Fruits</c:v>
                </c:pt>
                <c:pt idx="23">
                  <c:v>Farine et féculents</c:v>
                </c:pt>
                <c:pt idx="24">
                  <c:v>Frites fraiche</c:v>
                </c:pt>
                <c:pt idx="25">
                  <c:v>Yaourt</c:v>
                </c:pt>
                <c:pt idx="26">
                  <c:v>Beurre</c:v>
                </c:pt>
                <c:pt idx="27">
                  <c:v>Œuf</c:v>
                </c:pt>
                <c:pt idx="28">
                  <c:v>Lait</c:v>
                </c:pt>
                <c:pt idx="29">
                  <c:v>Crème</c:v>
                </c:pt>
                <c:pt idx="30">
                  <c:v>Fromage</c:v>
                </c:pt>
                <c:pt idx="31">
                  <c:v>Pain</c:v>
                </c:pt>
                <c:pt idx="32">
                  <c:v>Vin (litre)</c:v>
                </c:pt>
              </c:strCache>
            </c:strRef>
          </c:cat>
          <c:val>
            <c:numRef>
              <c:f>'Données Alimentaire'!$Q$14:$Q$46</c:f>
              <c:numCache>
                <c:formatCode>#,##0</c:formatCode>
                <c:ptCount val="33"/>
                <c:pt idx="0">
                  <c:v>63128</c:v>
                </c:pt>
                <c:pt idx="1">
                  <c:v>51547.5</c:v>
                </c:pt>
                <c:pt idx="2">
                  <c:v>4905.42</c:v>
                </c:pt>
                <c:pt idx="3">
                  <c:v>20740</c:v>
                </c:pt>
                <c:pt idx="4">
                  <c:v>38399</c:v>
                </c:pt>
                <c:pt idx="5">
                  <c:v>459</c:v>
                </c:pt>
                <c:pt idx="6">
                  <c:v>2805</c:v>
                </c:pt>
                <c:pt idx="7">
                  <c:v>58774.5</c:v>
                </c:pt>
                <c:pt idx="8">
                  <c:v>55770</c:v>
                </c:pt>
                <c:pt idx="9">
                  <c:v>20555</c:v>
                </c:pt>
                <c:pt idx="10">
                  <c:v>16546</c:v>
                </c:pt>
                <c:pt idx="11">
                  <c:v>3410</c:v>
                </c:pt>
                <c:pt idx="12">
                  <c:v>62718.3</c:v>
                </c:pt>
                <c:pt idx="13">
                  <c:v>435</c:v>
                </c:pt>
                <c:pt idx="14">
                  <c:v>84364</c:v>
                </c:pt>
                <c:pt idx="15">
                  <c:v>14245.099999999999</c:v>
                </c:pt>
                <c:pt idx="16">
                  <c:v>42884.33</c:v>
                </c:pt>
                <c:pt idx="18">
                  <c:v>49005</c:v>
                </c:pt>
                <c:pt idx="20">
                  <c:v>5065.2</c:v>
                </c:pt>
                <c:pt idx="21">
                  <c:v>3156</c:v>
                </c:pt>
                <c:pt idx="22">
                  <c:v>30587</c:v>
                </c:pt>
                <c:pt idx="23">
                  <c:v>12196</c:v>
                </c:pt>
                <c:pt idx="24">
                  <c:v>1520</c:v>
                </c:pt>
                <c:pt idx="25">
                  <c:v>97567.5</c:v>
                </c:pt>
                <c:pt idx="26">
                  <c:v>88846</c:v>
                </c:pt>
                <c:pt idx="27">
                  <c:v>23280</c:v>
                </c:pt>
                <c:pt idx="28">
                  <c:v>13357.85</c:v>
                </c:pt>
                <c:pt idx="29">
                  <c:v>42328</c:v>
                </c:pt>
                <c:pt idx="30">
                  <c:v>45986.400000000001</c:v>
                </c:pt>
                <c:pt idx="31">
                  <c:v>14104.8</c:v>
                </c:pt>
                <c:pt idx="32">
                  <c:v>3858.8999999999996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4-4620-897E-6F7646394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549248"/>
        <c:axId val="720549576"/>
      </c:barChart>
      <c:catAx>
        <c:axId val="72054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0549576"/>
        <c:crosses val="autoZero"/>
        <c:auto val="0"/>
        <c:lblAlgn val="ctr"/>
        <c:lblOffset val="100"/>
        <c:noMultiLvlLbl val="0"/>
      </c:catAx>
      <c:valAx>
        <c:axId val="72054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kgCO2e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054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'Bilan Alimentaire'!$B$13</c:f>
          <c:strCache>
            <c:ptCount val="1"/>
            <c:pt idx="0">
              <c:v>Quantité commandée de Canard/canette par repas servi (kg)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'Bilan Alimentaire'!$B$17</c:f>
              <c:strCache>
                <c:ptCount val="1"/>
                <c:pt idx="0">
                  <c:v>Quantité (t ou g)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'Bilan Alimentaire'!$C$16:$I$16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'Bilan Alimentaire'!$C$17:$I$17</c:f>
              <c:numCache>
                <c:formatCode>0.0</c:formatCode>
                <c:ptCount val="7"/>
                <c:pt idx="0">
                  <c:v>3.4646925396944086</c:v>
                </c:pt>
                <c:pt idx="1">
                  <c:v>1.9810390106094449</c:v>
                </c:pt>
                <c:pt idx="2">
                  <c:v>1.7667161715260564</c:v>
                </c:pt>
                <c:pt idx="3">
                  <c:v>2.1515078346401659</c:v>
                </c:pt>
                <c:pt idx="4">
                  <c:v>2.0325066460275263</c:v>
                </c:pt>
                <c:pt idx="5">
                  <c:v>1.9496625274862218</c:v>
                </c:pt>
                <c:pt idx="6">
                  <c:v>4.9541263373848867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3-4277-A5F4-BC86593EEE5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2485903"/>
        <c:axId val="1172484655"/>
      </c:lineChart>
      <c:catAx>
        <c:axId val="1172485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2484655"/>
        <c:crosses val="autoZero"/>
        <c:auto val="1"/>
        <c:lblAlgn val="ctr"/>
        <c:lblOffset val="100"/>
        <c:noMultiLvlLbl val="0"/>
      </c:catAx>
      <c:valAx>
        <c:axId val="11724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24859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Facteurs d'émissions des viandes (kgCO2e/kg)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'Bilan Alimentaire'!$K$21:$K$27</c:f>
              <c:strCache>
                <c:ptCount val="7"/>
                <c:pt idx="0">
                  <c:v>Agneau</c:v>
                </c:pt>
                <c:pt idx="1">
                  <c:v>Bœuf</c:v>
                </c:pt>
                <c:pt idx="2">
                  <c:v>Veau</c:v>
                </c:pt>
                <c:pt idx="3">
                  <c:v>Porc</c:v>
                </c:pt>
                <c:pt idx="4">
                  <c:v>Dinde</c:v>
                </c:pt>
                <c:pt idx="5">
                  <c:v>Canard</c:v>
                </c:pt>
                <c:pt idx="6">
                  <c:v>Poulet</c:v>
                </c:pt>
              </c:strCache>
            </c:strRef>
          </c:cat>
          <c:val>
            <c:numRef>
              <c:f>'Bilan Alimentaire'!$L$21:$L$27</c:f>
              <c:numCache>
                <c:formatCode>General</c:formatCode>
                <c:ptCount val="7"/>
                <c:pt idx="0">
                  <c:v>44</c:v>
                </c:pt>
                <c:pt idx="1">
                  <c:v>39</c:v>
                </c:pt>
                <c:pt idx="2">
                  <c:v>20</c:v>
                </c:pt>
                <c:pt idx="3">
                  <c:v>10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2-48FC-81F8-FB818B2C1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1110639"/>
        <c:axId val="531106063"/>
      </c:barChart>
      <c:catAx>
        <c:axId val="531110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1106063"/>
        <c:crosses val="autoZero"/>
        <c:auto val="1"/>
        <c:lblAlgn val="ctr"/>
        <c:lblOffset val="100"/>
        <c:noMultiLvlLbl val="0"/>
      </c:catAx>
      <c:valAx>
        <c:axId val="53110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1110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Part d'émissions des viandes en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D3-43C0-955F-7AEC986E0D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D3-43C0-955F-7AEC986E0D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D3-43C0-955F-7AEC986E0D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D3-43C0-955F-7AEC986E0D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D3-43C0-955F-7AEC986E0D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D3-43C0-955F-7AEC986E0D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3D3-43C0-955F-7AEC986E0D03}"/>
              </c:ext>
            </c:extLst>
          </c:dPt>
          <c:dLbls>
            <c:dLbl>
              <c:idx val="6"/>
              <c:layout>
                <c:manualLayout>
                  <c:x val="7.222222222222217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D3-43C0-955F-7AEC986E0D03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'Données Alimentaire'!$C$48:$C$54</c:f>
              <c:strCache>
                <c:ptCount val="7"/>
                <c:pt idx="0">
                  <c:v>Bœuf</c:v>
                </c:pt>
                <c:pt idx="1">
                  <c:v>Porc</c:v>
                </c:pt>
                <c:pt idx="2">
                  <c:v>Agneau</c:v>
                </c:pt>
                <c:pt idx="3">
                  <c:v>Poulet</c:v>
                </c:pt>
                <c:pt idx="4">
                  <c:v>Dinde</c:v>
                </c:pt>
                <c:pt idx="5">
                  <c:v>Veau</c:v>
                </c:pt>
                <c:pt idx="6">
                  <c:v>Canard/canette</c:v>
                </c:pt>
              </c:strCache>
            </c:strRef>
          </c:cat>
          <c:val>
            <c:numRef>
              <c:f>'Données Alimentaire'!$S$48:$S$54</c:f>
              <c:numCache>
                <c:formatCode>#\ ##0.0</c:formatCode>
                <c:ptCount val="7"/>
                <c:pt idx="0">
                  <c:v>79.459999999999994</c:v>
                </c:pt>
                <c:pt idx="1">
                  <c:v>15.68</c:v>
                </c:pt>
                <c:pt idx="2">
                  <c:v>25.08</c:v>
                </c:pt>
                <c:pt idx="3">
                  <c:v>20.76</c:v>
                </c:pt>
                <c:pt idx="4">
                  <c:v>21.623999999999999</c:v>
                </c:pt>
                <c:pt idx="5">
                  <c:v>22.4</c:v>
                </c:pt>
                <c:pt idx="6">
                  <c:v>10.374000000000001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D3-43C0-955F-7AEC986E0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Déchets</a:t>
            </a:r>
            <a:r>
              <a:rPr lang="fr-FR" baseline="0"/>
              <a:t> principaux sur 2019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94-4562-81BE-EA5CC362B0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94-4562-81BE-EA5CC362B0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94-4562-81BE-EA5CC362B0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494-4562-81BE-EA5CC362B0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94-4562-81BE-EA5CC362B040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('Données Déchets'!$C$37,'Données Déchets'!$D$37,'Données Déchets'!$E$37,'Données Déchets'!$I$37,'Données Déchets'!$L$37)</c:f>
              <c:strCache>
                <c:ptCount val="5"/>
                <c:pt idx="0">
                  <c:v>Papiers-cartons</c:v>
                </c:pt>
                <c:pt idx="1">
                  <c:v>Fermentescibles</c:v>
                </c:pt>
                <c:pt idx="2">
                  <c:v>DEEE divers</c:v>
                </c:pt>
                <c:pt idx="3">
                  <c:v>DIB</c:v>
                </c:pt>
                <c:pt idx="4">
                  <c:v>Bennes férailles</c:v>
                </c:pt>
              </c:strCache>
            </c:strRef>
          </c:cat>
          <c:val>
            <c:numRef>
              <c:f>('Données Déchets'!$C$42,'Données Déchets'!$D$42,'Données Déchets'!$E$42,'Données Déchets'!$I$42,'Données Déchets'!$L$42)</c:f>
              <c:numCache>
                <c:formatCode>#,##0.00</c:formatCode>
                <c:ptCount val="5"/>
                <c:pt idx="0">
                  <c:v>8.0514109999999999</c:v>
                </c:pt>
                <c:pt idx="1">
                  <c:v>10.512828500000001</c:v>
                </c:pt>
                <c:pt idx="2">
                  <c:v>31.002299999999998</c:v>
                </c:pt>
                <c:pt idx="3">
                  <c:v>27.77562</c:v>
                </c:pt>
                <c:pt idx="4">
                  <c:v>6.9224399999999999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F-4315-8A25-08C59B774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Emissions dues à l'immobilisation des véhicules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'Données Flotte Véhicule'!$M$11</c:f>
              <c:strCache>
                <c:ptCount val="1"/>
                <c:pt idx="0">
                  <c:v>Emissions (kgCO2e)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'Données Flotte Véhicule'!$N$12:$X$12</c:f>
                <c:numCache>
                  <c:formatCode>General</c:formatCode>
                  <c:ptCount val="11"/>
                  <c:pt idx="0">
                    <c:v>3208.3333333333335</c:v>
                  </c:pt>
                  <c:pt idx="1">
                    <c:v>3446.6666666666665</c:v>
                  </c:pt>
                  <c:pt idx="2">
                    <c:v>3758.3333333333335</c:v>
                  </c:pt>
                  <c:pt idx="3">
                    <c:v>3758.3333333333335</c:v>
                  </c:pt>
                  <c:pt idx="4">
                    <c:v>3758.3333333333335</c:v>
                  </c:pt>
                  <c:pt idx="5">
                    <c:v>3758.3333333333335</c:v>
                  </c:pt>
                  <c:pt idx="6">
                    <c:v>5580.666666666667</c:v>
                  </c:pt>
                  <c:pt idx="7">
                    <c:v>6094</c:v>
                  </c:pt>
                  <c:pt idx="8">
                    <c:v>6750.9444444444443</c:v>
                  </c:pt>
                  <c:pt idx="9">
                    <c:v>7753.166666666667</c:v>
                  </c:pt>
                  <c:pt idx="10">
                    <c:v>8335.8611111111113</c:v>
                  </c:pt>
                </c:numCache>
              </c:numRef>
            </c:plus>
            <c:minus>
              <c:numRef>
                <c:f>'Données Flotte Véhicule'!$N$12:$X$12</c:f>
                <c:numCache>
                  <c:formatCode>General</c:formatCode>
                  <c:ptCount val="11"/>
                  <c:pt idx="0">
                    <c:v>3208.3333333333335</c:v>
                  </c:pt>
                  <c:pt idx="1">
                    <c:v>3446.6666666666665</c:v>
                  </c:pt>
                  <c:pt idx="2">
                    <c:v>3758.3333333333335</c:v>
                  </c:pt>
                  <c:pt idx="3">
                    <c:v>3758.3333333333335</c:v>
                  </c:pt>
                  <c:pt idx="4">
                    <c:v>3758.3333333333335</c:v>
                  </c:pt>
                  <c:pt idx="5">
                    <c:v>3758.3333333333335</c:v>
                  </c:pt>
                  <c:pt idx="6">
                    <c:v>5580.666666666667</c:v>
                  </c:pt>
                  <c:pt idx="7">
                    <c:v>6094</c:v>
                  </c:pt>
                  <c:pt idx="8">
                    <c:v>6750.9444444444443</c:v>
                  </c:pt>
                  <c:pt idx="9">
                    <c:v>7753.166666666667</c:v>
                  </c:pt>
                  <c:pt idx="10">
                    <c:v>8335.8611111111113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'Données Flotte Véhicule'!$N$6:$X$6</c:f>
              <c:numCache>
                <c:formatCode>yyyy</c:formatCode>
                <c:ptCount val="1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</c:numCache>
            </c:numRef>
          </c:cat>
          <c:val>
            <c:numRef>
              <c:f>'Données Flotte Véhicule'!$N$11:$X$11</c:f>
              <c:numCache>
                <c:formatCode>_-* #\ ##0_-;\-* #\ ##0_-;_-* "-"??_-;_-@_-</c:formatCode>
                <c:ptCount val="11"/>
                <c:pt idx="0">
                  <c:v>6416.666666666667</c:v>
                </c:pt>
                <c:pt idx="1">
                  <c:v>6893.333333333333</c:v>
                </c:pt>
                <c:pt idx="2">
                  <c:v>7516.666666666667</c:v>
                </c:pt>
                <c:pt idx="3">
                  <c:v>7516.666666666667</c:v>
                </c:pt>
                <c:pt idx="4">
                  <c:v>7516.666666666667</c:v>
                </c:pt>
                <c:pt idx="5">
                  <c:v>7516.666666666667</c:v>
                </c:pt>
                <c:pt idx="6">
                  <c:v>11161.333333333334</c:v>
                </c:pt>
                <c:pt idx="7">
                  <c:v>12188</c:v>
                </c:pt>
                <c:pt idx="8">
                  <c:v>13501.888888888889</c:v>
                </c:pt>
                <c:pt idx="9">
                  <c:v>15506.333333333334</c:v>
                </c:pt>
                <c:pt idx="10">
                  <c:v>16671.722222222223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E-4697-9B9E-8CCF4934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156768"/>
        <c:axId val="1775493456"/>
      </c:lineChart>
      <c:dateAx>
        <c:axId val="171015676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5493456"/>
        <c:crosses val="autoZero"/>
        <c:auto val="1"/>
        <c:lblOffset val="100"/>
        <c:baseTimeUnit val="years"/>
      </c:dateAx>
      <c:valAx>
        <c:axId val="17754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Emissions</a:t>
                </a:r>
                <a:r>
                  <a:rPr lang="fr-FR" baseline="0"/>
                  <a:t> (kgCO2e)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015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du</a:t>
            </a:r>
            <a:r>
              <a:rPr lang="fr-FR" baseline="0"/>
              <a:t> nombre d'étudiants en comparaison avec la surface du campus de l'INSA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Nombre d'étudiants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'Données Batiments'!$B$82:$B$92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'Données Batiments'!$C$82:$C$92</c:f>
              <c:numCache>
                <c:formatCode>General</c:formatCode>
                <c:ptCount val="11"/>
                <c:pt idx="0">
                  <c:v>5482</c:v>
                </c:pt>
                <c:pt idx="1">
                  <c:v>5547</c:v>
                </c:pt>
                <c:pt idx="2">
                  <c:v>5595</c:v>
                </c:pt>
                <c:pt idx="3">
                  <c:v>5701</c:v>
                </c:pt>
                <c:pt idx="4">
                  <c:v>5679</c:v>
                </c:pt>
                <c:pt idx="5">
                  <c:v>5760</c:v>
                </c:pt>
                <c:pt idx="6">
                  <c:v>5794</c:v>
                </c:pt>
                <c:pt idx="7">
                  <c:v>5937</c:v>
                </c:pt>
                <c:pt idx="8">
                  <c:v>6036</c:v>
                </c:pt>
                <c:pt idx="9">
                  <c:v>6122</c:v>
                </c:pt>
                <c:pt idx="10">
                  <c:v>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6-4D74-8D1D-81D230D22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3679208"/>
        <c:axId val="613681176"/>
      </c:barChart>
      <c:lineChart>
        <c:grouping val="standard"/>
        <c:varyColors val="0"/>
        <c:ser>
          <c:idx val="1"/>
          <c:order val="1"/>
          <c:tx>
            <c:v>Surface des bâtiments INSA (en m2)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'Données Batiments'!$BT$28:$BT$38</c:f>
              <c:numCache>
                <c:formatCode>#,##0</c:formatCode>
                <c:ptCount val="11"/>
                <c:pt idx="0">
                  <c:v>219042.04</c:v>
                </c:pt>
                <c:pt idx="1">
                  <c:v>219042.04</c:v>
                </c:pt>
                <c:pt idx="2">
                  <c:v>219042.29</c:v>
                </c:pt>
                <c:pt idx="3">
                  <c:v>219042.29</c:v>
                </c:pt>
                <c:pt idx="4">
                  <c:v>219042.29</c:v>
                </c:pt>
                <c:pt idx="5">
                  <c:v>218386.29</c:v>
                </c:pt>
                <c:pt idx="6">
                  <c:v>217833.29</c:v>
                </c:pt>
                <c:pt idx="7">
                  <c:v>222545.29</c:v>
                </c:pt>
                <c:pt idx="8">
                  <c:v>225903.29</c:v>
                </c:pt>
                <c:pt idx="9">
                  <c:v>219842.44</c:v>
                </c:pt>
                <c:pt idx="10">
                  <c:v>219842.44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6-4D74-8D1D-81D230D22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087352"/>
        <c:axId val="691087024"/>
      </c:lineChart>
      <c:catAx>
        <c:axId val="61367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681176"/>
        <c:crosses val="autoZero"/>
        <c:auto val="1"/>
        <c:lblAlgn val="ctr"/>
        <c:lblOffset val="100"/>
        <c:noMultiLvlLbl val="0"/>
      </c:catAx>
      <c:valAx>
        <c:axId val="613681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679208"/>
        <c:crosses val="autoZero"/>
        <c:crossBetween val="between"/>
      </c:valAx>
      <c:valAx>
        <c:axId val="69108702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1087352"/>
        <c:crosses val="max"/>
        <c:crossBetween val="between"/>
      </c:valAx>
      <c:catAx>
        <c:axId val="691087352"/>
        <c:scaling>
          <c:orientation val="minMax"/>
        </c:scaling>
        <c:delete val="1"/>
        <c:axPos val="b"/>
        <c:majorTickMark val="out"/>
        <c:minorTickMark val="none"/>
        <c:tickLblPos val="nextTo"/>
        <c:crossAx val="691087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Proportion</a:t>
            </a:r>
            <a:r>
              <a:rPr lang="fr-FR" baseline="0"/>
              <a:t> des émissions de GES sur le campus de l'INSA par type de personne sur une année (sur les données du sondage "mobi-campus")</a:t>
            </a:r>
            <a:endParaRPr lang="fr-FR"/>
          </a:p>
        </c:rich>
      </c:tx>
      <c:layout>
        <c:manualLayout>
          <c:xMode val="edge"/>
          <c:yMode val="edge"/>
          <c:x val="8.7628556261716617E-2"/>
          <c:y val="5.4434750670048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449-449A-96A3-42A42954D76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449-449A-96A3-42A42954D768}"/>
              </c:ext>
            </c:extLst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49-449A-96A3-42A42954D7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'Données domicile-travail'!$F$17:$F$19</c:f>
              <c:strCache>
                <c:ptCount val="3"/>
                <c:pt idx="0">
                  <c:v>Etudiant(e) (y compris doctorant(e))</c:v>
                </c:pt>
                <c:pt idx="1">
                  <c:v>Enseignant(e)s-chercheur(e)s</c:v>
                </c:pt>
                <c:pt idx="2">
                  <c:v>Personnel administratif/technique  (BIATSS - Bibliothèque, Ingénieur(e), ITRF, Administratif(ve), Technicien(ne), Social, Santé )</c:v>
                </c:pt>
              </c:strCache>
            </c:strRef>
          </c:cat>
          <c:val>
            <c:numRef>
              <c:f>'Données domicile-travail'!$N$17:$N$19</c:f>
              <c:numCache>
                <c:formatCode>0%</c:formatCode>
                <c:ptCount val="3"/>
                <c:pt idx="0">
                  <c:v>0.18819512205022693</c:v>
                </c:pt>
                <c:pt idx="1">
                  <c:v>0.2887871697956198</c:v>
                </c:pt>
                <c:pt idx="2">
                  <c:v>0.50044017948159758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9-449A-96A3-42A42954D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'Données domicile-travail'!$B$6:$B$12</c:f>
              <c:strCache>
                <c:ptCount val="7"/>
                <c:pt idx="0">
                  <c:v>Métro/Tramway</c:v>
                </c:pt>
                <c:pt idx="1">
                  <c:v>Bus</c:v>
                </c:pt>
                <c:pt idx="2">
                  <c:v>Voiture - personnelle</c:v>
                </c:pt>
                <c:pt idx="3">
                  <c:v>Voiture - covoiturage</c:v>
                </c:pt>
                <c:pt idx="4">
                  <c:v>Moto</c:v>
                </c:pt>
                <c:pt idx="5">
                  <c:v>TGV - 2019</c:v>
                </c:pt>
                <c:pt idx="6">
                  <c:v>Vélo/marche/mode "doux"</c:v>
                </c:pt>
              </c:strCache>
            </c:strRef>
          </c:cat>
          <c:val>
            <c:numRef>
              <c:f>'Données domicile-travail'!$C$6:$C$12</c:f>
              <c:numCache>
                <c:formatCode>General</c:formatCode>
                <c:ptCount val="7"/>
                <c:pt idx="0">
                  <c:v>2.9299999999999999E-3</c:v>
                </c:pt>
                <c:pt idx="1">
                  <c:v>0.129</c:v>
                </c:pt>
                <c:pt idx="2">
                  <c:v>0.13800000000000001</c:v>
                </c:pt>
                <c:pt idx="3">
                  <c:v>3.4500000000000003E-2</c:v>
                </c:pt>
                <c:pt idx="4">
                  <c:v>6.4399999999999999E-2</c:v>
                </c:pt>
                <c:pt idx="5">
                  <c:v>1.73E-3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3-284A-89EA-560074267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167488"/>
        <c:axId val="725169168"/>
      </c:barChart>
      <c:catAx>
        <c:axId val="72516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5169168"/>
        <c:crosses val="autoZero"/>
        <c:auto val="1"/>
        <c:lblAlgn val="ctr"/>
        <c:lblOffset val="100"/>
        <c:noMultiLvlLbl val="0"/>
      </c:catAx>
      <c:valAx>
        <c:axId val="72516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516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'Bilan Energie'!A1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215152</xdr:colOff>
      <xdr:row>9</xdr:row>
      <xdr:rowOff>62752</xdr:rowOff>
    </xdr:from>
    <xdr:to>
      <xdr:col>6</xdr:col>
      <xdr:colOff>179293</xdr:colOff>
      <xdr:row>11</xdr:row>
      <xdr:rowOff>8963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504D9452-1A56-48D7-8772-E2CF82B3E44B}"/>
            </a:ext>
          </a:extLst>
        </xdr:cNvPr>
        <xdr:cNvSpPr txBox="1"/>
      </xdr:nvSpPr>
      <xdr:spPr>
        <a:xfrm>
          <a:off x="4518211" y="3953434"/>
          <a:ext cx="1237129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chemeClr val="accent1">
                  <a:lumMod val="75000"/>
                </a:schemeClr>
              </a:solidFill>
            </a:rPr>
            <a:t>SCOPE  1&amp;2</a:t>
          </a:r>
          <a:r>
            <a:rPr lang="fr-FR" sz="1100" b="1" baseline="0">
              <a:solidFill>
                <a:schemeClr val="accent1">
                  <a:lumMod val="75000"/>
                </a:schemeClr>
              </a:solidFill>
            </a:rPr>
            <a:t> </a:t>
          </a:r>
          <a:endParaRPr lang="fr-FR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4</xdr:col>
      <xdr:colOff>218355</xdr:colOff>
      <xdr:row>23</xdr:row>
      <xdr:rowOff>6406</xdr:rowOff>
    </xdr:from>
    <xdr:to>
      <xdr:col>6</xdr:col>
      <xdr:colOff>39061</xdr:colOff>
      <xdr:row>24</xdr:row>
      <xdr:rowOff>137673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AA4ED503-D52D-49DA-81D1-9BF794EC0359}"/>
            </a:ext>
          </a:extLst>
        </xdr:cNvPr>
        <xdr:cNvSpPr txBox="1"/>
      </xdr:nvSpPr>
      <xdr:spPr>
        <a:xfrm>
          <a:off x="4529098" y="4142977"/>
          <a:ext cx="1148763" cy="316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chemeClr val="accent1">
                  <a:lumMod val="75000"/>
                </a:schemeClr>
              </a:solidFill>
            </a:rPr>
            <a:t>SCOPE 3</a:t>
          </a:r>
        </a:p>
      </xdr:txBody>
    </xdr:sp>
    <xdr:clientData/>
  </xdr:twoCellAnchor>
  <xdr:twoCellAnchor>
    <xdr:from>
      <xdr:col>4</xdr:col>
      <xdr:colOff>44824</xdr:colOff>
      <xdr:row>14</xdr:row>
      <xdr:rowOff>62753</xdr:rowOff>
    </xdr:from>
    <xdr:to>
      <xdr:col>4</xdr:col>
      <xdr:colOff>197224</xdr:colOff>
      <xdr:row>47</xdr:row>
      <xdr:rowOff>0</xdr:rowOff>
    </xdr:to>
    <xdr:sp macro="" textlink="">
      <xdr:nvSpPr>
        <xdr:cNvPr id="6" name="Accolade fermante 5">
          <a:extLst>
            <a:ext uri="{FF2B5EF4-FFF2-40B4-BE49-F238E27FC236}">
              <a16:creationId xmlns:a16="http://schemas.microsoft.com/office/drawing/2014/main" id="{8462036B-9620-400C-8692-E94B4706627C}"/>
            </a:ext>
          </a:extLst>
        </xdr:cNvPr>
        <xdr:cNvSpPr/>
      </xdr:nvSpPr>
      <xdr:spPr>
        <a:xfrm>
          <a:off x="4354065" y="2335615"/>
          <a:ext cx="152400" cy="6059523"/>
        </a:xfrm>
        <a:prstGeom prst="rightBrace">
          <a:avLst/>
        </a:prstGeom>
        <a:ln w="12700">
          <a:solidFill>
            <a:schemeClr val="accent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53789</xdr:colOff>
      <xdr:row>8</xdr:row>
      <xdr:rowOff>35859</xdr:rowOff>
    </xdr:from>
    <xdr:to>
      <xdr:col>4</xdr:col>
      <xdr:colOff>188259</xdr:colOff>
      <xdr:row>11</xdr:row>
      <xdr:rowOff>170329</xdr:rowOff>
    </xdr:to>
    <xdr:sp macro="" textlink="">
      <xdr:nvSpPr>
        <xdr:cNvPr id="8" name="Accolade fermante 7">
          <a:extLst>
            <a:ext uri="{FF2B5EF4-FFF2-40B4-BE49-F238E27FC236}">
              <a16:creationId xmlns:a16="http://schemas.microsoft.com/office/drawing/2014/main" id="{681496A3-6CC0-4C89-A68D-0B8601ACCB33}"/>
            </a:ext>
          </a:extLst>
        </xdr:cNvPr>
        <xdr:cNvSpPr/>
      </xdr:nvSpPr>
      <xdr:spPr>
        <a:xfrm>
          <a:off x="4356848" y="3747247"/>
          <a:ext cx="134470" cy="672353"/>
        </a:xfrm>
        <a:prstGeom prst="rightBrace">
          <a:avLst/>
        </a:prstGeom>
        <a:ln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19</xdr:col>
      <xdr:colOff>435428</xdr:colOff>
      <xdr:row>55</xdr:row>
      <xdr:rowOff>145145</xdr:rowOff>
    </xdr:from>
    <xdr:to>
      <xdr:col>34</xdr:col>
      <xdr:colOff>272142</xdr:colOff>
      <xdr:row>83</xdr:row>
      <xdr:rowOff>165104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33E52B8B-CC1D-3846-BFBE-C8440EE6C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72569</xdr:colOff>
      <xdr:row>56</xdr:row>
      <xdr:rowOff>34469</xdr:rowOff>
    </xdr:from>
    <xdr:to>
      <xdr:col>48</xdr:col>
      <xdr:colOff>129395</xdr:colOff>
      <xdr:row>85</xdr:row>
      <xdr:rowOff>72571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BD19C086-4243-9948-B8DB-5A93A16D93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471713</xdr:colOff>
      <xdr:row>86</xdr:row>
      <xdr:rowOff>36285</xdr:rowOff>
    </xdr:from>
    <xdr:to>
      <xdr:col>34</xdr:col>
      <xdr:colOff>290284</xdr:colOff>
      <xdr:row>104</xdr:row>
      <xdr:rowOff>165101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2030F50F-409C-8E4A-BE91-4024E68312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254000</xdr:colOff>
      <xdr:row>7</xdr:row>
      <xdr:rowOff>88900</xdr:rowOff>
    </xdr:from>
    <xdr:to>
      <xdr:col>17</xdr:col>
      <xdr:colOff>598714</xdr:colOff>
      <xdr:row>43</xdr:row>
      <xdr:rowOff>163286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2B122155-FC2F-4148-90CE-BA51C48C07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208998</xdr:colOff>
      <xdr:row>11</xdr:row>
      <xdr:rowOff>76200</xdr:rowOff>
    </xdr:from>
    <xdr:to>
      <xdr:col>26</xdr:col>
      <xdr:colOff>489857</xdr:colOff>
      <xdr:row>28</xdr:row>
      <xdr:rowOff>54428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BF9EA0E-F8D0-7E4C-B470-93C2876356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332013</xdr:colOff>
      <xdr:row>3</xdr:row>
      <xdr:rowOff>149926</xdr:rowOff>
    </xdr:from>
    <xdr:to>
      <xdr:col>8</xdr:col>
      <xdr:colOff>913904</xdr:colOff>
      <xdr:row>6</xdr:row>
      <xdr:rowOff>42305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32DC2A5-E941-4A23-91BE-B156D5E301FC}"/>
            </a:ext>
          </a:extLst>
        </xdr:cNvPr>
        <xdr:cNvSpPr txBox="1"/>
      </xdr:nvSpPr>
      <xdr:spPr>
        <a:xfrm>
          <a:off x="4645477" y="707819"/>
          <a:ext cx="3235284" cy="45027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Changez la date du bilan en cliquant ici </a:t>
          </a:r>
        </a:p>
      </xdr:txBody>
    </xdr:sp>
    <xdr:clientData/>
  </xdr:twoCellAnchor>
  <xdr:twoCellAnchor>
    <xdr:from>
      <xdr:col>3</xdr:col>
      <xdr:colOff>55420</xdr:colOff>
      <xdr:row>5</xdr:row>
      <xdr:rowOff>0</xdr:rowOff>
    </xdr:from>
    <xdr:to>
      <xdr:col>4</xdr:col>
      <xdr:colOff>332509</xdr:colOff>
      <xdr:row>5</xdr:row>
      <xdr:rowOff>69273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900A41FC-4660-4872-8C6F-04C70F948CCB}"/>
            </a:ext>
          </a:extLst>
        </xdr:cNvPr>
        <xdr:cNvCxnSpPr/>
      </xdr:nvCxnSpPr>
      <xdr:spPr>
        <a:xfrm flipH="1">
          <a:off x="3699165" y="942109"/>
          <a:ext cx="942108" cy="6927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217714</xdr:colOff>
      <xdr:row>11</xdr:row>
      <xdr:rowOff>87087</xdr:rowOff>
    </xdr:from>
    <xdr:to>
      <xdr:col>34</xdr:col>
      <xdr:colOff>468151</xdr:colOff>
      <xdr:row>28</xdr:row>
      <xdr:rowOff>55292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30F8E500-C52F-481A-A062-4514B65ED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30</xdr:col>
      <xdr:colOff>76199</xdr:colOff>
      <xdr:row>7</xdr:row>
      <xdr:rowOff>174171</xdr:rowOff>
    </xdr:from>
    <xdr:ext cx="1270220" cy="342786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4CDC745-27A4-46EB-BD9D-2A21224241C1}"/>
            </a:ext>
          </a:extLst>
        </xdr:cNvPr>
        <xdr:cNvSpPr txBox="1"/>
      </xdr:nvSpPr>
      <xdr:spPr>
        <a:xfrm>
          <a:off x="22097999" y="1513114"/>
          <a:ext cx="1270220" cy="34278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/>
            <a:t>Bilan</a:t>
          </a:r>
          <a:r>
            <a:rPr lang="fr-FR" sz="1600" baseline="0"/>
            <a:t> Energie</a:t>
          </a:r>
          <a:endParaRPr lang="fr-FR" sz="1600"/>
        </a:p>
      </xdr:txBody>
    </xdr:sp>
    <xdr:clientData/>
  </xdr:oneCellAnchor>
  <xdr:oneCellAnchor>
    <xdr:from>
      <xdr:col>21</xdr:col>
      <xdr:colOff>424541</xdr:colOff>
      <xdr:row>8</xdr:row>
      <xdr:rowOff>21771</xdr:rowOff>
    </xdr:from>
    <xdr:ext cx="1755673" cy="342786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DDEA7DE9-CFED-400A-B6DD-F7ABDF9659B3}"/>
            </a:ext>
          </a:extLst>
        </xdr:cNvPr>
        <xdr:cNvSpPr txBox="1"/>
      </xdr:nvSpPr>
      <xdr:spPr>
        <a:xfrm>
          <a:off x="16861970" y="1545771"/>
          <a:ext cx="1755673" cy="34278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/>
            <a:t>Bilan</a:t>
          </a:r>
          <a:r>
            <a:rPr lang="fr-FR" sz="1600" baseline="0"/>
            <a:t> Déplacement</a:t>
          </a:r>
          <a:endParaRPr lang="fr-FR" sz="1600"/>
        </a:p>
      </xdr:txBody>
    </xdr:sp>
    <xdr:clientData/>
  </xdr:oneCellAnchor>
  <xdr:oneCellAnchor>
    <xdr:from>
      <xdr:col>11</xdr:col>
      <xdr:colOff>827313</xdr:colOff>
      <xdr:row>4</xdr:row>
      <xdr:rowOff>163285</xdr:rowOff>
    </xdr:from>
    <xdr:ext cx="1065163" cy="342786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966E25A7-871C-4264-84C3-6E045651665A}"/>
            </a:ext>
          </a:extLst>
        </xdr:cNvPr>
        <xdr:cNvSpPr txBox="1"/>
      </xdr:nvSpPr>
      <xdr:spPr>
        <a:xfrm>
          <a:off x="10145484" y="925285"/>
          <a:ext cx="1065163" cy="34278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/>
            <a:t>Bilan</a:t>
          </a:r>
          <a:r>
            <a:rPr lang="fr-FR" sz="1600" baseline="0"/>
            <a:t> Total</a:t>
          </a:r>
          <a:endParaRPr lang="fr-FR" sz="1600"/>
        </a:p>
      </xdr:txBody>
    </xdr:sp>
    <xdr:clientData/>
  </xdr:oneCellAnchor>
  <xdr:twoCellAnchor>
    <xdr:from>
      <xdr:col>35</xdr:col>
      <xdr:colOff>206828</xdr:colOff>
      <xdr:row>11</xdr:row>
      <xdr:rowOff>87087</xdr:rowOff>
    </xdr:from>
    <xdr:to>
      <xdr:col>42</xdr:col>
      <xdr:colOff>457265</xdr:colOff>
      <xdr:row>28</xdr:row>
      <xdr:rowOff>55292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76E9456F-BBF6-4CF3-863C-4F22930BA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37</xdr:col>
      <xdr:colOff>272142</xdr:colOff>
      <xdr:row>7</xdr:row>
      <xdr:rowOff>163285</xdr:rowOff>
    </xdr:from>
    <xdr:ext cx="1970219" cy="342786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F84F2434-9760-4D59-BC60-282A2534A324}"/>
            </a:ext>
          </a:extLst>
        </xdr:cNvPr>
        <xdr:cNvSpPr txBox="1"/>
      </xdr:nvSpPr>
      <xdr:spPr>
        <a:xfrm>
          <a:off x="26637342" y="1502228"/>
          <a:ext cx="1970219" cy="34278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/>
            <a:t>Bilan</a:t>
          </a:r>
          <a:r>
            <a:rPr lang="fr-FR" sz="1600" baseline="0"/>
            <a:t> Immobilisations</a:t>
          </a:r>
          <a:endParaRPr lang="fr-FR" sz="1600"/>
        </a:p>
      </xdr:txBody>
    </xdr:sp>
    <xdr:clientData/>
  </xdr:oneCellAnchor>
  <xdr:twoCellAnchor>
    <xdr:from>
      <xdr:col>43</xdr:col>
      <xdr:colOff>119743</xdr:colOff>
      <xdr:row>11</xdr:row>
      <xdr:rowOff>76201</xdr:rowOff>
    </xdr:from>
    <xdr:to>
      <xdr:col>50</xdr:col>
      <xdr:colOff>370180</xdr:colOff>
      <xdr:row>28</xdr:row>
      <xdr:rowOff>44406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B90BED48-27F1-4CA9-83EE-48B6069CF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45</xdr:col>
      <xdr:colOff>511627</xdr:colOff>
      <xdr:row>7</xdr:row>
      <xdr:rowOff>185056</xdr:rowOff>
    </xdr:from>
    <xdr:ext cx="1728358" cy="342786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038F7FFC-8B71-4A87-9F2B-07D30DF0128F}"/>
            </a:ext>
          </a:extLst>
        </xdr:cNvPr>
        <xdr:cNvSpPr txBox="1"/>
      </xdr:nvSpPr>
      <xdr:spPr>
        <a:xfrm>
          <a:off x="31840713" y="1523999"/>
          <a:ext cx="1728358" cy="34278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/>
            <a:t>Bilan</a:t>
          </a:r>
          <a:r>
            <a:rPr lang="fr-FR" sz="1600" baseline="0"/>
            <a:t> Alimentation</a:t>
          </a:r>
          <a:endParaRPr lang="fr-FR" sz="1600"/>
        </a:p>
      </xdr:txBody>
    </xdr:sp>
    <xdr:clientData/>
  </xdr:oneCellAnchor>
  <xdr:oneCellAnchor>
    <xdr:from>
      <xdr:col>1</xdr:col>
      <xdr:colOff>1646465</xdr:colOff>
      <xdr:row>126</xdr:row>
      <xdr:rowOff>95252</xdr:rowOff>
    </xdr:from>
    <xdr:ext cx="8849474" cy="655949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C6242434-35EE-4FDE-9CCC-CED7291E9BD0}"/>
            </a:ext>
          </a:extLst>
        </xdr:cNvPr>
        <xdr:cNvSpPr txBox="1"/>
      </xdr:nvSpPr>
      <xdr:spPr>
        <a:xfrm>
          <a:off x="2272394" y="20220216"/>
          <a:ext cx="8849474" cy="65594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/>
            <a:t>Cette "légende"</a:t>
          </a:r>
          <a:r>
            <a:rPr lang="fr-FR" sz="1200" b="1" baseline="0"/>
            <a:t> a été créée dans le bilan sur les données 2019. J'ai essayé de ne pas changer les couleurs des anciennes approximations</a:t>
          </a:r>
        </a:p>
        <a:p>
          <a:r>
            <a:rPr lang="fr-FR" sz="1200" b="1" baseline="0"/>
            <a:t>pour garder la trace de la construction de celles-ci.</a:t>
          </a:r>
        </a:p>
        <a:p>
          <a:r>
            <a:rPr lang="fr-FR" sz="1200" b="1" baseline="0"/>
            <a:t>Thibault</a:t>
          </a:r>
          <a:endParaRPr lang="fr-FR" sz="1200" b="1"/>
        </a:p>
      </xdr:txBody>
    </xdr:sp>
    <xdr:clientData/>
  </xdr:oneCellAnchor>
  <xdr:twoCellAnchor>
    <xdr:from>
      <xdr:col>1</xdr:col>
      <xdr:colOff>2163535</xdr:colOff>
      <xdr:row>120</xdr:row>
      <xdr:rowOff>108857</xdr:rowOff>
    </xdr:from>
    <xdr:to>
      <xdr:col>2</xdr:col>
      <xdr:colOff>95250</xdr:colOff>
      <xdr:row>126</xdr:row>
      <xdr:rowOff>68036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3DDF5E57-350C-4585-9E9A-65E2F09E0613}"/>
            </a:ext>
          </a:extLst>
        </xdr:cNvPr>
        <xdr:cNvCxnSpPr/>
      </xdr:nvCxnSpPr>
      <xdr:spPr>
        <a:xfrm flipH="1" flipV="1">
          <a:off x="2789464" y="19172464"/>
          <a:ext cx="190500" cy="102053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329293</xdr:colOff>
      <xdr:row>119</xdr:row>
      <xdr:rowOff>108858</xdr:rowOff>
    </xdr:from>
    <xdr:to>
      <xdr:col>3</xdr:col>
      <xdr:colOff>81643</xdr:colOff>
      <xdr:row>126</xdr:row>
      <xdr:rowOff>70758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7F0A961B-FB7D-495F-A4B3-07598D9D731B}"/>
            </a:ext>
          </a:extLst>
        </xdr:cNvPr>
        <xdr:cNvCxnSpPr/>
      </xdr:nvCxnSpPr>
      <xdr:spPr>
        <a:xfrm flipV="1">
          <a:off x="3214007" y="18981965"/>
          <a:ext cx="514350" cy="121375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0.21875</cdr:x>
      <cdr:y>0.02877</cdr:y>
    </cdr:from>
    <cdr:to>
      <cdr:x>0.65278</cdr:x>
      <cdr:y>0.10428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AD63393B-B071-EE40-91F2-0A9EB9DEAE3E}"/>
            </a:ext>
          </a:extLst>
        </cdr:cNvPr>
        <cdr:cNvSpPr txBox="1"/>
      </cdr:nvSpPr>
      <cdr:spPr>
        <a:xfrm xmlns:a="http://schemas.openxmlformats.org/drawingml/2006/main">
          <a:off x="2285998" y="145140"/>
          <a:ext cx="4535716" cy="380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600"/>
            <a:t>Evolution de</a:t>
          </a:r>
          <a:r>
            <a:rPr lang="fr-FR" sz="1600" baseline="0"/>
            <a:t> chacun des principaux postes d'émissions de GES</a:t>
          </a:r>
          <a:endParaRPr lang="fr-FR" sz="16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27539</xdr:colOff>
      <xdr:row>21</xdr:row>
      <xdr:rowOff>154112</xdr:rowOff>
    </xdr:from>
    <xdr:to>
      <xdr:col>3</xdr:col>
      <xdr:colOff>484371</xdr:colOff>
      <xdr:row>24</xdr:row>
      <xdr:rowOff>146351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B9495A18-1D46-429B-BF49-012E19FE7479}"/>
            </a:ext>
          </a:extLst>
        </xdr:cNvPr>
        <xdr:cNvSpPr txBox="1"/>
      </xdr:nvSpPr>
      <xdr:spPr>
        <a:xfrm>
          <a:off x="335764" y="4469258"/>
          <a:ext cx="3667506" cy="4802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000"/>
            </a:lnSpc>
          </a:pPr>
          <a:r>
            <a:rPr lang="fr-FR" sz="1100"/>
            <a:t>Donnée</a:t>
          </a:r>
          <a:r>
            <a:rPr lang="fr-FR" sz="1100" baseline="0"/>
            <a:t>s obtenues grâce à  la direction du patrimoine (Françcoise Chesa)</a:t>
          </a:r>
          <a:endParaRPr lang="fr-FR" sz="1100"/>
        </a:p>
      </xdr:txBody>
    </xdr:sp>
    <xdr:clientData/>
  </xdr:twoCellAnchor>
  <xdr:twoCellAnchor>
    <xdr:from>
      <xdr:col>0</xdr:col>
      <xdr:colOff>200805</xdr:colOff>
      <xdr:row>0</xdr:row>
      <xdr:rowOff>0</xdr:rowOff>
    </xdr:from>
    <xdr:to>
      <xdr:col>0</xdr:col>
      <xdr:colOff>831401</xdr:colOff>
      <xdr:row>0</xdr:row>
      <xdr:rowOff>5837</xdr:rowOff>
    </xdr:to>
    <xdr:sp macro="" textlink="">
      <xdr:nvSpPr>
        <xdr:cNvPr id="7" name="ZoneText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0C7E43-75A2-4745-9853-05B76350182D}"/>
            </a:ext>
          </a:extLst>
        </xdr:cNvPr>
        <xdr:cNvSpPr txBox="1"/>
      </xdr:nvSpPr>
      <xdr:spPr>
        <a:xfrm>
          <a:off x="200805" y="229517"/>
          <a:ext cx="630596" cy="47736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bg1"/>
              </a:solidFill>
            </a:rPr>
            <a:t>Accès bilan</a:t>
          </a:r>
        </a:p>
      </xdr:txBody>
    </xdr:sp>
    <xdr:clientData/>
  </xdr:twoCellAnchor>
  <xdr:twoCellAnchor>
    <xdr:from>
      <xdr:col>1</xdr:col>
      <xdr:colOff>349742</xdr:colOff>
      <xdr:row>480</xdr:row>
      <xdr:rowOff>69438</xdr:rowOff>
    </xdr:from>
    <xdr:to>
      <xdr:col>8</xdr:col>
      <xdr:colOff>176561</xdr:colOff>
      <xdr:row>507</xdr:row>
      <xdr:rowOff>83294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B66B5A3-475F-4047-AE99-B365466908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749134</xdr:colOff>
      <xdr:row>479</xdr:row>
      <xdr:rowOff>134258</xdr:rowOff>
    </xdr:from>
    <xdr:to>
      <xdr:col>17</xdr:col>
      <xdr:colOff>326572</xdr:colOff>
      <xdr:row>507</xdr:row>
      <xdr:rowOff>4372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5AACE96-CE68-4930-9E84-C8269279AD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354776</xdr:colOff>
      <xdr:row>509</xdr:row>
      <xdr:rowOff>91703</xdr:rowOff>
    </xdr:from>
    <xdr:to>
      <xdr:col>8</xdr:col>
      <xdr:colOff>202376</xdr:colOff>
      <xdr:row>537</xdr:row>
      <xdr:rowOff>63995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8354E347-CB0A-46DB-AFFC-36842960E5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835479</xdr:colOff>
      <xdr:row>512</xdr:row>
      <xdr:rowOff>989</xdr:rowOff>
    </xdr:from>
    <xdr:to>
      <xdr:col>17</xdr:col>
      <xdr:colOff>454478</xdr:colOff>
      <xdr:row>540</xdr:row>
      <xdr:rowOff>14844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C2A388B1-986D-45E0-82C4-0D43D87375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117569</xdr:colOff>
      <xdr:row>17</xdr:row>
      <xdr:rowOff>118755</xdr:rowOff>
    </xdr:from>
    <xdr:to>
      <xdr:col>6</xdr:col>
      <xdr:colOff>710521</xdr:colOff>
      <xdr:row>35</xdr:row>
      <xdr:rowOff>135529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067E7D4-45B2-43FD-AA14-7E0269F0B1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824445</xdr:colOff>
      <xdr:row>17</xdr:row>
      <xdr:rowOff>111925</xdr:rowOff>
    </xdr:from>
    <xdr:to>
      <xdr:col>13</xdr:col>
      <xdr:colOff>783771</xdr:colOff>
      <xdr:row>35</xdr:row>
      <xdr:rowOff>148099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E0DC3FA5-1DCB-43D9-AE83-CE01DD5B43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875011</xdr:colOff>
      <xdr:row>37</xdr:row>
      <xdr:rowOff>10291</xdr:rowOff>
    </xdr:from>
    <xdr:to>
      <xdr:col>14</xdr:col>
      <xdr:colOff>511627</xdr:colOff>
      <xdr:row>56</xdr:row>
      <xdr:rowOff>56021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442EEE45-F942-43F8-990A-8FC34CF10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458421</xdr:colOff>
      <xdr:row>0</xdr:row>
      <xdr:rowOff>135511</xdr:rowOff>
    </xdr:from>
    <xdr:to>
      <xdr:col>22</xdr:col>
      <xdr:colOff>753590</xdr:colOff>
      <xdr:row>17</xdr:row>
      <xdr:rowOff>102785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D0F07C93-6402-4155-BFEC-008DB00BF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399193</xdr:colOff>
      <xdr:row>38</xdr:row>
      <xdr:rowOff>10884</xdr:rowOff>
    </xdr:from>
    <xdr:to>
      <xdr:col>6</xdr:col>
      <xdr:colOff>261257</xdr:colOff>
      <xdr:row>54</xdr:row>
      <xdr:rowOff>62779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A39F8F2B-C918-4BA2-9E0C-878E9FAD35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397328</xdr:colOff>
      <xdr:row>18</xdr:row>
      <xdr:rowOff>72572</xdr:rowOff>
    </xdr:from>
    <xdr:to>
      <xdr:col>22</xdr:col>
      <xdr:colOff>170223</xdr:colOff>
      <xdr:row>36</xdr:row>
      <xdr:rowOff>82089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7ED9492D-2496-4B51-8396-B5FFCCE91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698500</xdr:colOff>
      <xdr:row>37</xdr:row>
      <xdr:rowOff>139700</xdr:rowOff>
    </xdr:from>
    <xdr:to>
      <xdr:col>22</xdr:col>
      <xdr:colOff>471395</xdr:colOff>
      <xdr:row>55</xdr:row>
      <xdr:rowOff>149217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3C4CAD02-4FD1-4961-B92A-4625609F5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465247</xdr:colOff>
      <xdr:row>18</xdr:row>
      <xdr:rowOff>74904</xdr:rowOff>
    </xdr:from>
    <xdr:to>
      <xdr:col>28</xdr:col>
      <xdr:colOff>771181</xdr:colOff>
      <xdr:row>36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E536B33-6EE1-49E3-B833-EA2C762CC5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777240</xdr:colOff>
      <xdr:row>21</xdr:row>
      <xdr:rowOff>121920</xdr:rowOff>
    </xdr:from>
    <xdr:to>
      <xdr:col>17</xdr:col>
      <xdr:colOff>762000</xdr:colOff>
      <xdr:row>37</xdr:row>
      <xdr:rowOff>228600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E3C9C1A6-22E3-497D-AB7D-5B86D4F16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108856</xdr:colOff>
      <xdr:row>1</xdr:row>
      <xdr:rowOff>6805</xdr:rowOff>
    </xdr:from>
    <xdr:to>
      <xdr:col>17</xdr:col>
      <xdr:colOff>0</xdr:colOff>
      <xdr:row>5</xdr:row>
      <xdr:rowOff>174172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5B30C49-95FE-4F54-9DAE-0D79C5CF4C7B}"/>
            </a:ext>
          </a:extLst>
        </xdr:cNvPr>
        <xdr:cNvSpPr txBox="1"/>
      </xdr:nvSpPr>
      <xdr:spPr>
        <a:xfrm>
          <a:off x="9002485" y="191862"/>
          <a:ext cx="6585858" cy="9075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/>
            <a:t>Données</a:t>
          </a:r>
          <a:r>
            <a:rPr lang="fr-FR" sz="1100" baseline="0"/>
            <a:t> extraites des achats restaurant récupérées auprès de la direction des restaurants (Matthias Kaluszynski). A noter que tous les achats ne sont pas pris en compte puisque certains produits type glace, tarte ou autre ne peuvent être classés dans aucune catégorie.</a:t>
          </a:r>
          <a:endParaRPr lang="fr-FR" sz="1100"/>
        </a:p>
      </xdr:txBody>
    </xdr:sp>
    <xdr:clientData/>
  </xdr:twoCellAnchor>
  <xdr:twoCellAnchor>
    <xdr:from>
      <xdr:col>22</xdr:col>
      <xdr:colOff>154710</xdr:colOff>
      <xdr:row>26</xdr:row>
      <xdr:rowOff>26265</xdr:rowOff>
    </xdr:from>
    <xdr:to>
      <xdr:col>46</xdr:col>
      <xdr:colOff>198005</xdr:colOff>
      <xdr:row>76</xdr:row>
      <xdr:rowOff>320673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13C84C2D-7282-457F-A86E-193962E6B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389963</xdr:colOff>
      <xdr:row>21</xdr:row>
      <xdr:rowOff>89646</xdr:rowOff>
    </xdr:from>
    <xdr:to>
      <xdr:col>6</xdr:col>
      <xdr:colOff>564777</xdr:colOff>
      <xdr:row>37</xdr:row>
      <xdr:rowOff>170329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46A42CA-9714-4C38-8B1B-B54217251F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206189</xdr:colOff>
      <xdr:row>15</xdr:row>
      <xdr:rowOff>80679</xdr:rowOff>
    </xdr:from>
    <xdr:to>
      <xdr:col>17</xdr:col>
      <xdr:colOff>564777</xdr:colOff>
      <xdr:row>30</xdr:row>
      <xdr:rowOff>134467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3087530C-F662-4C0F-A299-7D300932B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761998</xdr:colOff>
      <xdr:row>9</xdr:row>
      <xdr:rowOff>134470</xdr:rowOff>
    </xdr:from>
    <xdr:to>
      <xdr:col>5</xdr:col>
      <xdr:colOff>645459</xdr:colOff>
      <xdr:row>14</xdr:row>
      <xdr:rowOff>44823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0349C36-78E8-4F72-8CFC-AAD445905B4C}"/>
            </a:ext>
          </a:extLst>
        </xdr:cNvPr>
        <xdr:cNvSpPr txBox="1"/>
      </xdr:nvSpPr>
      <xdr:spPr>
        <a:xfrm>
          <a:off x="4401669" y="1748117"/>
          <a:ext cx="1461249" cy="8068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Modifier la valeur</a:t>
          </a:r>
          <a:r>
            <a:rPr lang="fr-FR" sz="1100" b="1" baseline="0"/>
            <a:t> :</a:t>
          </a:r>
          <a:endParaRPr lang="fr-FR" sz="1100" b="1"/>
        </a:p>
        <a:p>
          <a:r>
            <a:rPr lang="fr-FR" sz="1100" b="1"/>
            <a:t>1 </a:t>
          </a:r>
          <a:r>
            <a:rPr lang="fr-FR" sz="1100"/>
            <a:t>pour diviser</a:t>
          </a:r>
          <a:r>
            <a:rPr lang="fr-FR" sz="1100" baseline="0"/>
            <a:t> par le nb de repas</a:t>
          </a:r>
        </a:p>
        <a:p>
          <a:r>
            <a:rPr lang="fr-FR" sz="1100" b="1" baseline="0"/>
            <a:t>0</a:t>
          </a:r>
          <a:r>
            <a:rPr lang="fr-FR" sz="1100" baseline="0"/>
            <a:t> sinon</a:t>
          </a:r>
          <a:endParaRPr lang="fr-FR" sz="1100"/>
        </a:p>
      </xdr:txBody>
    </xdr:sp>
    <xdr:clientData/>
  </xdr:twoCellAnchor>
  <xdr:twoCellAnchor>
    <xdr:from>
      <xdr:col>3</xdr:col>
      <xdr:colOff>17930</xdr:colOff>
      <xdr:row>12</xdr:row>
      <xdr:rowOff>0</xdr:rowOff>
    </xdr:from>
    <xdr:to>
      <xdr:col>3</xdr:col>
      <xdr:colOff>761998</xdr:colOff>
      <xdr:row>13</xdr:row>
      <xdr:rowOff>80682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3E6E99DC-EEED-44B7-A431-D88E43B1E4D6}"/>
            </a:ext>
          </a:extLst>
        </xdr:cNvPr>
        <xdr:cNvCxnSpPr>
          <a:stCxn id="2" idx="1"/>
        </xdr:cNvCxnSpPr>
      </xdr:nvCxnSpPr>
      <xdr:spPr>
        <a:xfrm flipH="1">
          <a:off x="3657601" y="2151529"/>
          <a:ext cx="744068" cy="25997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259978</xdr:colOff>
      <xdr:row>10</xdr:row>
      <xdr:rowOff>125507</xdr:rowOff>
    </xdr:from>
    <xdr:ext cx="1766046" cy="436786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86C929D9-1E15-4E0D-943B-A0CADDB4FB31}"/>
            </a:ext>
          </a:extLst>
        </xdr:cNvPr>
        <xdr:cNvSpPr txBox="1"/>
      </xdr:nvSpPr>
      <xdr:spPr>
        <a:xfrm>
          <a:off x="259978" y="1918448"/>
          <a:ext cx="1766046" cy="436786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 b="1"/>
            <a:t>Choisir</a:t>
          </a:r>
          <a:r>
            <a:rPr lang="fr-FR" sz="1100" b="1" baseline="0"/>
            <a:t> la valeur</a:t>
          </a:r>
          <a:r>
            <a:rPr lang="fr-FR" sz="1100" b="1"/>
            <a:t> pour </a:t>
          </a:r>
        </a:p>
        <a:p>
          <a:r>
            <a:rPr lang="fr-FR" sz="1100" b="1"/>
            <a:t>avoir le graphe</a:t>
          </a:r>
          <a:r>
            <a:rPr lang="fr-FR" sz="1100" b="1" baseline="0"/>
            <a:t> </a:t>
          </a:r>
          <a:r>
            <a:rPr lang="fr-FR" sz="1100" b="1"/>
            <a:t>souhaité</a:t>
          </a:r>
        </a:p>
      </xdr:txBody>
    </xdr:sp>
    <xdr:clientData/>
  </xdr:oneCellAnchor>
  <xdr:twoCellAnchor>
    <xdr:from>
      <xdr:col>0</xdr:col>
      <xdr:colOff>457200</xdr:colOff>
      <xdr:row>13</xdr:row>
      <xdr:rowOff>44823</xdr:rowOff>
    </xdr:from>
    <xdr:to>
      <xdr:col>0</xdr:col>
      <xdr:colOff>735106</xdr:colOff>
      <xdr:row>14</xdr:row>
      <xdr:rowOff>80682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4B5EF78D-DC4B-4273-AA7F-C5141E4C52A6}"/>
            </a:ext>
          </a:extLst>
        </xdr:cNvPr>
        <xdr:cNvCxnSpPr/>
      </xdr:nvCxnSpPr>
      <xdr:spPr>
        <a:xfrm>
          <a:off x="457200" y="2375647"/>
          <a:ext cx="277906" cy="21515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358588</xdr:colOff>
      <xdr:row>2</xdr:row>
      <xdr:rowOff>35858</xdr:rowOff>
    </xdr:from>
    <xdr:ext cx="1480726" cy="264560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9C45C824-EC08-4ECF-A97B-0F11D4FAAF95}"/>
            </a:ext>
          </a:extLst>
        </xdr:cNvPr>
        <xdr:cNvSpPr txBox="1"/>
      </xdr:nvSpPr>
      <xdr:spPr>
        <a:xfrm>
          <a:off x="11510682" y="394446"/>
          <a:ext cx="1480726" cy="26456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 b="1"/>
            <a:t>Choisir</a:t>
          </a:r>
          <a:r>
            <a:rPr lang="fr-FR" sz="1100" b="1" baseline="0"/>
            <a:t> l'année voulue</a:t>
          </a:r>
          <a:endParaRPr lang="fr-FR" sz="1100" b="1"/>
        </a:p>
      </xdr:txBody>
    </xdr:sp>
    <xdr:clientData/>
  </xdr:oneCellAnchor>
  <xdr:twoCellAnchor>
    <xdr:from>
      <xdr:col>12</xdr:col>
      <xdr:colOff>8966</xdr:colOff>
      <xdr:row>2</xdr:row>
      <xdr:rowOff>168138</xdr:rowOff>
    </xdr:from>
    <xdr:to>
      <xdr:col>12</xdr:col>
      <xdr:colOff>358588</xdr:colOff>
      <xdr:row>4</xdr:row>
      <xdr:rowOff>0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8FFCE0E8-6F2E-4485-8FDB-881C93E4583A}"/>
            </a:ext>
          </a:extLst>
        </xdr:cNvPr>
        <xdr:cNvCxnSpPr>
          <a:stCxn id="12" idx="1"/>
        </xdr:cNvCxnSpPr>
      </xdr:nvCxnSpPr>
      <xdr:spPr>
        <a:xfrm flipH="1">
          <a:off x="11161060" y="526726"/>
          <a:ext cx="349622" cy="190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693885</xdr:colOff>
      <xdr:row>32</xdr:row>
      <xdr:rowOff>32977</xdr:rowOff>
    </xdr:from>
    <xdr:to>
      <xdr:col>13</xdr:col>
      <xdr:colOff>810426</xdr:colOff>
      <xdr:row>47</xdr:row>
      <xdr:rowOff>86765</xdr:rowOff>
    </xdr:to>
    <xdr:graphicFrame macro="">
      <xdr:nvGraphicFramePr>
        <xdr:cNvPr id="5" name="Graphique 2">
          <a:extLst>
            <a:ext uri="{FF2B5EF4-FFF2-40B4-BE49-F238E27FC236}">
              <a16:creationId xmlns:a16="http://schemas.microsoft.com/office/drawing/2014/main" id="{69D64E18-6E02-449D-97F8-C35B19B58B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415637</xdr:colOff>
      <xdr:row>48</xdr:row>
      <xdr:rowOff>138544</xdr:rowOff>
    </xdr:from>
    <xdr:to>
      <xdr:col>14</xdr:col>
      <xdr:colOff>858982</xdr:colOff>
      <xdr:row>74</xdr:row>
      <xdr:rowOff>69273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C0D5C7F-5EA2-4916-80FA-E1A02A245D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555172</xdr:colOff>
      <xdr:row>14</xdr:row>
      <xdr:rowOff>151493</xdr:rowOff>
    </xdr:from>
    <xdr:ext cx="5475514" cy="749821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06F2108-D3A7-40F8-B901-EBB43C0AF0FD}"/>
            </a:ext>
          </a:extLst>
        </xdr:cNvPr>
        <xdr:cNvSpPr txBox="1"/>
      </xdr:nvSpPr>
      <xdr:spPr>
        <a:xfrm>
          <a:off x="12376755" y="2945493"/>
          <a:ext cx="5475514" cy="7498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400"/>
            <a:t>La</a:t>
          </a:r>
          <a:r>
            <a:rPr lang="fr-FR" sz="1400" baseline="0"/>
            <a:t> somme des poids à prendre en compte pour l'année N est calculée automatiquement en fonction des dates d'acquisition et de restitution renseignées dans l'inventaire des véhicules</a:t>
          </a:r>
          <a:endParaRPr lang="fr-FR" sz="1400"/>
        </a:p>
      </xdr:txBody>
    </xdr:sp>
    <xdr:clientData/>
  </xdr:oneCellAnchor>
  <xdr:twoCellAnchor>
    <xdr:from>
      <xdr:col>17</xdr:col>
      <xdr:colOff>186266</xdr:colOff>
      <xdr:row>13</xdr:row>
      <xdr:rowOff>133350</xdr:rowOff>
    </xdr:from>
    <xdr:to>
      <xdr:col>25</xdr:col>
      <xdr:colOff>342900</xdr:colOff>
      <xdr:row>29</xdr:row>
      <xdr:rowOff>139700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09D9859-33AC-47C8-86A6-C1813AF9A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822960</xdr:colOff>
      <xdr:row>78</xdr:row>
      <xdr:rowOff>115454</xdr:rowOff>
    </xdr:from>
    <xdr:to>
      <xdr:col>71</xdr:col>
      <xdr:colOff>331932</xdr:colOff>
      <xdr:row>101</xdr:row>
      <xdr:rowOff>91439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5B49642-3485-40B8-BC9B-4609354725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20</xdr:row>
      <xdr:rowOff>0</xdr:rowOff>
    </xdr:from>
    <xdr:to>
      <xdr:col>9</xdr:col>
      <xdr:colOff>571500</xdr:colOff>
      <xdr:row>28</xdr:row>
      <xdr:rowOff>142875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CFBF1195-9FAB-4DD5-B84A-AE67AAA2ACC7}"/>
            </a:ext>
          </a:extLst>
        </xdr:cNvPr>
        <xdr:cNvSpPr/>
      </xdr:nvSpPr>
      <xdr:spPr>
        <a:xfrm>
          <a:off x="9475470" y="731520"/>
          <a:ext cx="5718810" cy="160591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Hypothèses:</a:t>
          </a:r>
        </a:p>
        <a:p>
          <a:pPr algn="l"/>
          <a:endParaRPr lang="fr-FR" sz="1100"/>
        </a:p>
        <a:p>
          <a:pPr algn="l"/>
          <a:r>
            <a:rPr lang="fr-FR" sz="1100"/>
            <a:t>-</a:t>
          </a:r>
          <a:r>
            <a:rPr lang="fr-FR" sz="1100" baseline="0"/>
            <a:t> Les voyages de distance inférieure à 2000km sont effectués au sein d'avions de capacité de 100 à180 sièges.</a:t>
          </a:r>
        </a:p>
        <a:p>
          <a:pPr algn="l"/>
          <a:r>
            <a:rPr lang="fr-FR" sz="1100" baseline="0"/>
            <a:t>- Les voyages de distance comprise entre 2000km et 5000km sont effectués au sein d'avions de capacité de 180 à 250 sièges.</a:t>
          </a:r>
        </a:p>
        <a:p>
          <a:pPr algn="l"/>
          <a:r>
            <a:rPr lang="fr-FR" sz="1100" baseline="0"/>
            <a:t>- Les voyages de distance supérieure à 5000km sont effectués au sein d'avions de capacité de 250sièges ou plus.</a:t>
          </a:r>
          <a:endParaRPr lang="fr-FR" sz="1100"/>
        </a:p>
      </xdr:txBody>
    </xdr:sp>
    <xdr:clientData/>
  </xdr:twoCellAnchor>
  <xdr:twoCellAnchor editAs="oneCell">
    <xdr:from>
      <xdr:col>17</xdr:col>
      <xdr:colOff>745067</xdr:colOff>
      <xdr:row>67</xdr:row>
      <xdr:rowOff>0</xdr:rowOff>
    </xdr:from>
    <xdr:to>
      <xdr:col>28</xdr:col>
      <xdr:colOff>224367</xdr:colOff>
      <xdr:row>81</xdr:row>
      <xdr:rowOff>88900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8243E8B-0E60-BA4A-9CD2-517B097FB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2134" y="25569335"/>
          <a:ext cx="11010900" cy="53721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</xdr:row>
      <xdr:rowOff>53340</xdr:rowOff>
    </xdr:from>
    <xdr:ext cx="2255520" cy="78124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4D6B256-6F20-44A3-B094-E7FED911D19C}"/>
            </a:ext>
          </a:extLst>
        </xdr:cNvPr>
        <xdr:cNvSpPr txBox="1"/>
      </xdr:nvSpPr>
      <xdr:spPr>
        <a:xfrm>
          <a:off x="788894" y="3280634"/>
          <a:ext cx="2255520" cy="781240"/>
        </a:xfrm>
        <a:prstGeom prst="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/>
            <a:t>Dans un premier temps,</a:t>
          </a:r>
          <a:r>
            <a:rPr lang="fr-FR" sz="1100" baseline="0"/>
            <a:t> </a:t>
          </a:r>
          <a:r>
            <a:rPr lang="fr-FR" sz="1100"/>
            <a:t>le</a:t>
          </a:r>
          <a:r>
            <a:rPr lang="fr-FR" sz="1100" baseline="0"/>
            <a:t> calcul pour les stages se base sur des émissions moyenne par continent et non par ville. (à affiner)</a:t>
          </a:r>
          <a:endParaRPr lang="fr-FR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935182</xdr:colOff>
      <xdr:row>16</xdr:row>
      <xdr:rowOff>23091</xdr:rowOff>
    </xdr:from>
    <xdr:to>
      <xdr:col>24</xdr:col>
      <xdr:colOff>722168</xdr:colOff>
      <xdr:row>32</xdr:row>
      <xdr:rowOff>42717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F99B36B-55D0-4C76-AEAC-4CAC3CC8B8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334818</xdr:colOff>
      <xdr:row>0</xdr:row>
      <xdr:rowOff>92364</xdr:rowOff>
    </xdr:from>
    <xdr:to>
      <xdr:col>15</xdr:col>
      <xdr:colOff>1928092</xdr:colOff>
      <xdr:row>13</xdr:row>
      <xdr:rowOff>159327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CE9B9E0-B797-E640-96B9-A205E85097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1897380</xdr:colOff>
      <xdr:row>9</xdr:row>
      <xdr:rowOff>53340</xdr:rowOff>
    </xdr:from>
    <xdr:ext cx="3817584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B37C13C-23CA-480D-9CA1-8B3316DE779E}"/>
            </a:ext>
          </a:extLst>
        </xdr:cNvPr>
        <xdr:cNvSpPr txBox="1"/>
      </xdr:nvSpPr>
      <xdr:spPr>
        <a:xfrm>
          <a:off x="4853940" y="1699260"/>
          <a:ext cx="3817584" cy="26456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 b="1"/>
            <a:t>Cette</a:t>
          </a:r>
          <a:r>
            <a:rPr lang="fr-FR" sz="1100" b="1" baseline="0"/>
            <a:t> feuille de calcul date du bilan carbone sur données 2019</a:t>
          </a:r>
          <a:endParaRPr lang="fr-FR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Users/abouayad/Desktop/D&#233;placmenets2/Base%20de%20donn&#233;es%20d&#233;plac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 (2)"/>
      <sheetName val="Feuil2"/>
    </sheetNames>
    <sheetDataSet>
      <sheetData sheetId="0"/>
      <sheetData sheetId="1">
        <row r="2">
          <cell r="A2" t="str">
            <v>ABU DHABI -LYON</v>
          </cell>
        </row>
        <row r="3">
          <cell r="A3" t="str">
            <v>AMMAN -PORTO</v>
          </cell>
        </row>
        <row r="4">
          <cell r="A4" t="str">
            <v>AMSTERDAM -MUNICH</v>
          </cell>
        </row>
        <row r="5">
          <cell r="A5" t="str">
            <v>AMSTERDAM -LYON</v>
          </cell>
        </row>
        <row r="6">
          <cell r="A6" t="str">
            <v>ATHENES -LYON</v>
          </cell>
        </row>
        <row r="7">
          <cell r="A7" t="str">
            <v>ATHENES -THIRA</v>
          </cell>
        </row>
        <row r="8">
          <cell r="A8" t="str">
            <v>ATHENES -LYON</v>
          </cell>
        </row>
        <row r="9">
          <cell r="A9" t="str">
            <v>BARCELONE -GRENADE</v>
          </cell>
        </row>
        <row r="10">
          <cell r="A10" t="str">
            <v>BARCELONE -LYON</v>
          </cell>
        </row>
        <row r="11">
          <cell r="A11" t="str">
            <v>BARCELONE -PARIS</v>
          </cell>
        </row>
        <row r="12">
          <cell r="A12" t="str">
            <v>BELFAST -PARIS</v>
          </cell>
        </row>
        <row r="13">
          <cell r="A13" t="str">
            <v>BELGRADE -LYON</v>
          </cell>
        </row>
        <row r="14">
          <cell r="A14" t="str">
            <v>BIARRITZ -LYON</v>
          </cell>
        </row>
        <row r="15">
          <cell r="A15" t="str">
            <v>BILBAO -BARCELONE</v>
          </cell>
        </row>
        <row r="16">
          <cell r="A16" t="str">
            <v>BIRMINGHAM -LYON</v>
          </cell>
        </row>
        <row r="17">
          <cell r="A17" t="str">
            <v>BIRMINGHAM -PARIS</v>
          </cell>
        </row>
        <row r="18">
          <cell r="A18" t="str">
            <v>BOGOTA -PARIS</v>
          </cell>
        </row>
        <row r="19">
          <cell r="A19" t="str">
            <v>BOGOTA -LYON</v>
          </cell>
        </row>
        <row r="20">
          <cell r="A20" t="str">
            <v>BORDEAUX -LYON</v>
          </cell>
        </row>
        <row r="21">
          <cell r="A21" t="str">
            <v>BORDEAUX -CARTAGENA</v>
          </cell>
        </row>
        <row r="22">
          <cell r="A22" t="str">
            <v>BOSTON -LYON</v>
          </cell>
        </row>
        <row r="23">
          <cell r="A23" t="str">
            <v>BREST -LYON</v>
          </cell>
        </row>
        <row r="24">
          <cell r="A24" t="str">
            <v>BREST -LYON</v>
          </cell>
        </row>
        <row r="25">
          <cell r="A25" t="str">
            <v>BRUXELLES -VARSOVIE</v>
          </cell>
        </row>
        <row r="26">
          <cell r="A26" t="str">
            <v>BRUXELLES -LYON</v>
          </cell>
        </row>
        <row r="27">
          <cell r="A27" t="str">
            <v>BRUXELLES -LYON</v>
          </cell>
        </row>
        <row r="28">
          <cell r="A28" t="str">
            <v>BUDAPEST -LYON</v>
          </cell>
        </row>
        <row r="29">
          <cell r="A29" t="str">
            <v>BUDAPEST -LYON</v>
          </cell>
        </row>
        <row r="30">
          <cell r="A30" t="str">
            <v>CAEN -LYON</v>
          </cell>
        </row>
        <row r="31">
          <cell r="A31" t="str">
            <v>CARACAS -MADRID</v>
          </cell>
        </row>
        <row r="32">
          <cell r="A32" t="str">
            <v>CARACAS -LYON</v>
          </cell>
        </row>
        <row r="33">
          <cell r="A33" t="str">
            <v>CARACAS -TURIN</v>
          </cell>
        </row>
        <row r="34">
          <cell r="A34" t="str">
            <v>CARACAS -TURIN</v>
          </cell>
        </row>
        <row r="35">
          <cell r="A35" t="str">
            <v>CARDIFF -LYON</v>
          </cell>
        </row>
        <row r="36">
          <cell r="A36" t="str">
            <v>CASABLANCA -TOULOUSE</v>
          </cell>
        </row>
        <row r="37">
          <cell r="A37" t="str">
            <v>CASABLANCA -MARSEILLE</v>
          </cell>
        </row>
        <row r="38">
          <cell r="A38" t="str">
            <v>CASABLANCA -PARIS</v>
          </cell>
        </row>
        <row r="39">
          <cell r="A39" t="str">
            <v>CASABLANCA -LYON</v>
          </cell>
        </row>
        <row r="40">
          <cell r="A40" t="str">
            <v>CASABLANCA -DAKAR</v>
          </cell>
        </row>
        <row r="41">
          <cell r="A41" t="str">
            <v>CATANE -LYON</v>
          </cell>
        </row>
        <row r="42">
          <cell r="A42" t="str">
            <v>CHENGDU -LYON</v>
          </cell>
        </row>
        <row r="43">
          <cell r="A43" t="str">
            <v>CONAKRY -LYON</v>
          </cell>
        </row>
        <row r="44">
          <cell r="A44" t="str">
            <v>COPENHAGUE -LYON</v>
          </cell>
        </row>
        <row r="45">
          <cell r="A45" t="str">
            <v>COPENHAGUE -LYON</v>
          </cell>
        </row>
        <row r="46">
          <cell r="A46" t="str">
            <v>COPENHAGUE -LONDRES</v>
          </cell>
        </row>
        <row r="47">
          <cell r="A47" t="str">
            <v>CRACOVIE -LYON</v>
          </cell>
        </row>
        <row r="48">
          <cell r="A48" t="str">
            <v>CURITIBA -LYON</v>
          </cell>
        </row>
        <row r="49">
          <cell r="A49" t="str">
            <v>DUBLIN -LYON</v>
          </cell>
        </row>
        <row r="50">
          <cell r="A50" t="str">
            <v>DUBLIN -LYON</v>
          </cell>
        </row>
        <row r="51">
          <cell r="A51" t="str">
            <v>DUBLIN -LYON</v>
          </cell>
        </row>
        <row r="52">
          <cell r="A52" t="str">
            <v>DUSSELDORF -LYON</v>
          </cell>
        </row>
        <row r="53">
          <cell r="A53" t="str">
            <v>FEZ -PARIS</v>
          </cell>
        </row>
        <row r="54">
          <cell r="A54" t="str">
            <v>FEZ -MARSEILLE</v>
          </cell>
        </row>
        <row r="55">
          <cell r="A55" t="str">
            <v>FEZ -LYON</v>
          </cell>
        </row>
        <row r="56">
          <cell r="A56" t="str">
            <v>FEZ -SAINT ETIENNE</v>
          </cell>
        </row>
        <row r="57">
          <cell r="A57" t="str">
            <v>FLORENCE -LYON</v>
          </cell>
        </row>
        <row r="58">
          <cell r="A58" t="str">
            <v>FORT DE FRANCE -POINTE A PITRE</v>
          </cell>
        </row>
        <row r="59">
          <cell r="A59" t="str">
            <v>FRANCFORT -LYON</v>
          </cell>
        </row>
        <row r="60">
          <cell r="A60" t="str">
            <v>FRANCFORT -BOMBAY</v>
          </cell>
        </row>
        <row r="61">
          <cell r="A61" t="str">
            <v>FUKUOKA -TOKYO</v>
          </cell>
        </row>
        <row r="62">
          <cell r="A62" t="str">
            <v>GENEVE -LARNACA</v>
          </cell>
        </row>
        <row r="63">
          <cell r="A63" t="str">
            <v>GENEVE -MUNICH</v>
          </cell>
        </row>
        <row r="64">
          <cell r="A64" t="str">
            <v>GENEVE -PALERME</v>
          </cell>
        </row>
        <row r="65">
          <cell r="A65" t="str">
            <v>GENEVE -CLUJ</v>
          </cell>
        </row>
        <row r="66">
          <cell r="A66" t="str">
            <v>GENEVE -NEW YORK</v>
          </cell>
        </row>
        <row r="67">
          <cell r="A67" t="str">
            <v>GENEVE -GRAZ</v>
          </cell>
        </row>
        <row r="68">
          <cell r="A68" t="str">
            <v>GENEVE -NANTES</v>
          </cell>
        </row>
        <row r="69">
          <cell r="A69" t="str">
            <v>GENEVE -THESSALONIQUE</v>
          </cell>
        </row>
        <row r="70">
          <cell r="A70" t="str">
            <v>GENEVE -CATANE</v>
          </cell>
        </row>
        <row r="71">
          <cell r="A71" t="str">
            <v>GENEVE -KIEV  BORYSPIL</v>
          </cell>
        </row>
        <row r="72">
          <cell r="A72" t="str">
            <v>GENEVE -SANTIAGO DE COM</v>
          </cell>
        </row>
        <row r="73">
          <cell r="A73" t="str">
            <v>GOTEBORG -LYON</v>
          </cell>
        </row>
        <row r="74">
          <cell r="A74" t="str">
            <v>GRAZ -BUDAPEST</v>
          </cell>
        </row>
        <row r="75">
          <cell r="A75" t="str">
            <v>GUIYANG -LYON</v>
          </cell>
        </row>
        <row r="76">
          <cell r="A76" t="str">
            <v>HANOI -SEOUL</v>
          </cell>
        </row>
        <row r="77">
          <cell r="A77" t="str">
            <v>HANOVRE -LYON</v>
          </cell>
        </row>
        <row r="78">
          <cell r="A78" t="str">
            <v>HARBIN -LYON</v>
          </cell>
        </row>
        <row r="79">
          <cell r="A79" t="str">
            <v>HELSINKI -PARIS</v>
          </cell>
        </row>
        <row r="80">
          <cell r="A80" t="str">
            <v>HONG KONG -LYON</v>
          </cell>
        </row>
        <row r="81">
          <cell r="A81" t="str">
            <v>HONG KONG -KAOSHIUNG</v>
          </cell>
        </row>
        <row r="82">
          <cell r="A82" t="str">
            <v>KAOSHIUNG -HONG KONG</v>
          </cell>
        </row>
        <row r="83">
          <cell r="A83" t="str">
            <v>KIEV  BORYSPIL -LYON</v>
          </cell>
        </row>
        <row r="84">
          <cell r="A84" t="str">
            <v>KIEV  BORYSPIL -HELSINKI</v>
          </cell>
        </row>
        <row r="85">
          <cell r="A85" t="str">
            <v>LA PAZ -SAO PAULO</v>
          </cell>
        </row>
        <row r="86">
          <cell r="A86" t="str">
            <v>LA PAZ -LIMA</v>
          </cell>
        </row>
        <row r="87">
          <cell r="A87" t="str">
            <v>LA ROCHELLE -LYON</v>
          </cell>
        </row>
        <row r="88">
          <cell r="A88" t="str">
            <v>LILLE -LYON</v>
          </cell>
        </row>
        <row r="89">
          <cell r="A89" t="str">
            <v>LILLE -BORDEAUX</v>
          </cell>
        </row>
        <row r="90">
          <cell r="A90" t="str">
            <v>LILLE -TOULOUSE</v>
          </cell>
        </row>
        <row r="91">
          <cell r="A91" t="str">
            <v>LILLE -LONDON LUTON</v>
          </cell>
        </row>
        <row r="92">
          <cell r="A92" t="str">
            <v>LILLE -ROME</v>
          </cell>
        </row>
        <row r="93">
          <cell r="A93" t="str">
            <v>LILLE -ATHENES</v>
          </cell>
        </row>
        <row r="94">
          <cell r="A94" t="str">
            <v>LILLE -PISE</v>
          </cell>
        </row>
        <row r="95">
          <cell r="A95" t="str">
            <v>LILLE -SANTIAGO DE COM</v>
          </cell>
        </row>
        <row r="96">
          <cell r="A96" t="str">
            <v>LIMOGES -LYON</v>
          </cell>
        </row>
        <row r="97">
          <cell r="A97" t="str">
            <v>LISBONNE -LYON</v>
          </cell>
        </row>
        <row r="98">
          <cell r="A98" t="str">
            <v>LISBONNE -MILAN</v>
          </cell>
        </row>
        <row r="99">
          <cell r="A99" t="str">
            <v>LISBONNE -LYON</v>
          </cell>
        </row>
        <row r="100">
          <cell r="A100" t="str">
            <v>LONDRES -LYON</v>
          </cell>
        </row>
        <row r="101">
          <cell r="A101" t="str">
            <v>LORIENT -LYON</v>
          </cell>
        </row>
        <row r="102">
          <cell r="A102" t="str">
            <v>LUXEMBOURG -LONDRES</v>
          </cell>
        </row>
        <row r="103">
          <cell r="A103" t="str">
            <v>LUXEMBOURG -NASHVILLE</v>
          </cell>
        </row>
        <row r="104">
          <cell r="A104" t="str">
            <v>LUXEMBOURG -LYON</v>
          </cell>
        </row>
        <row r="105">
          <cell r="A105" t="str">
            <v>LYON -ALGER</v>
          </cell>
        </row>
        <row r="106">
          <cell r="A106" t="str">
            <v>LYON -ORAN</v>
          </cell>
        </row>
        <row r="107">
          <cell r="A107" t="str">
            <v>LYON -MELBOURNE</v>
          </cell>
        </row>
        <row r="108">
          <cell r="A108" t="str">
            <v>LYON -GRAZ</v>
          </cell>
        </row>
        <row r="109">
          <cell r="A109" t="str">
            <v>LYON -VIENNE</v>
          </cell>
        </row>
        <row r="110">
          <cell r="A110" t="str">
            <v>LYON -BRUXELLES</v>
          </cell>
        </row>
        <row r="111">
          <cell r="A111" t="str">
            <v>LYON -SANTA CRUZ</v>
          </cell>
        </row>
        <row r="112">
          <cell r="A112" t="str">
            <v>LYON -SAO PAULO</v>
          </cell>
        </row>
        <row r="113">
          <cell r="A113" t="str">
            <v>LYON -MONTREAL</v>
          </cell>
        </row>
        <row r="114">
          <cell r="A114" t="str">
            <v>LYON -SANTIAGO DU CH.</v>
          </cell>
        </row>
        <row r="115">
          <cell r="A115" t="str">
            <v>LYON -CHENGDU</v>
          </cell>
        </row>
        <row r="116">
          <cell r="A116" t="str">
            <v>LYON -PEKIN</v>
          </cell>
        </row>
        <row r="117">
          <cell r="A117" t="str">
            <v>LYON -HARBIN</v>
          </cell>
        </row>
        <row r="118">
          <cell r="A118" t="str">
            <v>LYON -CHONGQING</v>
          </cell>
        </row>
        <row r="119">
          <cell r="A119" t="str">
            <v>LYON -NANJING</v>
          </cell>
        </row>
        <row r="120">
          <cell r="A120" t="str">
            <v>LYON -SHANGAI</v>
          </cell>
        </row>
        <row r="121">
          <cell r="A121" t="str">
            <v>LYON -COPENHAGUE</v>
          </cell>
        </row>
        <row r="122">
          <cell r="A122" t="str">
            <v>LYON -MUNICH</v>
          </cell>
        </row>
        <row r="123">
          <cell r="A123" t="str">
            <v>LYON -DUSSELDORF</v>
          </cell>
        </row>
        <row r="124">
          <cell r="A124" t="str">
            <v>LYON -DRESDE</v>
          </cell>
        </row>
        <row r="125">
          <cell r="A125" t="str">
            <v>LYON -HAMBOURG</v>
          </cell>
        </row>
        <row r="126">
          <cell r="A126" t="str">
            <v>LYON -BERLIN</v>
          </cell>
        </row>
        <row r="127">
          <cell r="A127" t="str">
            <v>LYON -LEIPZIG</v>
          </cell>
        </row>
        <row r="128">
          <cell r="A128" t="str">
            <v>LYON -DUBAI</v>
          </cell>
        </row>
        <row r="129">
          <cell r="A129" t="str">
            <v>LYON -QUITO</v>
          </cell>
        </row>
        <row r="130">
          <cell r="A130" t="str">
            <v>LYON -BARCELONE</v>
          </cell>
        </row>
        <row r="131">
          <cell r="A131" t="str">
            <v>LYON -GRENADE</v>
          </cell>
        </row>
        <row r="132">
          <cell r="A132" t="str">
            <v>LYON -MADRID</v>
          </cell>
        </row>
        <row r="133">
          <cell r="A133" t="str">
            <v>LYON -LA CORUNA</v>
          </cell>
        </row>
        <row r="134">
          <cell r="A134" t="str">
            <v>LYON -VIGO</v>
          </cell>
        </row>
        <row r="135">
          <cell r="A135" t="str">
            <v>LYON -SEVILLE</v>
          </cell>
        </row>
        <row r="136">
          <cell r="A136" t="str">
            <v>LYON -GRENADE</v>
          </cell>
        </row>
        <row r="137">
          <cell r="A137" t="str">
            <v>LYON -HELSINKI</v>
          </cell>
        </row>
        <row r="138">
          <cell r="A138" t="str">
            <v>LYON -LIMOGES</v>
          </cell>
        </row>
        <row r="139">
          <cell r="A139" t="str">
            <v>LYON -NICE</v>
          </cell>
        </row>
        <row r="140">
          <cell r="A140" t="str">
            <v>LYON -POITIERS</v>
          </cell>
        </row>
        <row r="141">
          <cell r="A141" t="str">
            <v>LYON -TOULOUSE</v>
          </cell>
        </row>
        <row r="142">
          <cell r="A142" t="str">
            <v>LYON -STRASBOURG</v>
          </cell>
        </row>
        <row r="143">
          <cell r="A143" t="str">
            <v>LYON -PARIS</v>
          </cell>
        </row>
        <row r="144">
          <cell r="A144" t="str">
            <v>LYON -NANTES</v>
          </cell>
        </row>
        <row r="145">
          <cell r="A145" t="str">
            <v>LYON -RENNES</v>
          </cell>
        </row>
        <row r="146">
          <cell r="A146" t="str">
            <v>LYON -BIARRITZ</v>
          </cell>
        </row>
        <row r="147">
          <cell r="A147" t="str">
            <v>LYON -LA ROCHELLE</v>
          </cell>
        </row>
        <row r="148">
          <cell r="A148" t="str">
            <v>LYON -BORDEAUX</v>
          </cell>
        </row>
        <row r="149">
          <cell r="A149" t="str">
            <v>LYON -LONDRES</v>
          </cell>
        </row>
        <row r="150">
          <cell r="A150" t="str">
            <v>LYON -LONDON LUTON</v>
          </cell>
        </row>
        <row r="151">
          <cell r="A151" t="str">
            <v>LYON -BIRMINGHAM</v>
          </cell>
        </row>
        <row r="152">
          <cell r="A152" t="str">
            <v>LYON -MANCHESTER</v>
          </cell>
        </row>
        <row r="153">
          <cell r="A153" t="str">
            <v>LYON -EDIMBOURG</v>
          </cell>
        </row>
        <row r="154">
          <cell r="A154" t="str">
            <v>LYON -THESSALONIQUE</v>
          </cell>
        </row>
        <row r="155">
          <cell r="A155" t="str">
            <v>LYON -THIRA</v>
          </cell>
        </row>
        <row r="156">
          <cell r="A156" t="str">
            <v>LYON -SAMOS</v>
          </cell>
        </row>
        <row r="157">
          <cell r="A157" t="str">
            <v>LYON -HERAKLION</v>
          </cell>
        </row>
        <row r="158">
          <cell r="A158" t="str">
            <v>LYON -RHODES</v>
          </cell>
        </row>
        <row r="159">
          <cell r="A159" t="str">
            <v>LYON -CAYENNE</v>
          </cell>
        </row>
        <row r="160">
          <cell r="A160" t="str">
            <v>LYON -HONG KONG</v>
          </cell>
        </row>
        <row r="161">
          <cell r="A161" t="str">
            <v>LYON -BUDAPEST</v>
          </cell>
        </row>
        <row r="162">
          <cell r="A162" t="str">
            <v>LYON -DUBLIN</v>
          </cell>
        </row>
        <row r="163">
          <cell r="A163" t="str">
            <v>LYON -FLORENCE</v>
          </cell>
        </row>
        <row r="164">
          <cell r="A164" t="str">
            <v>LYON -ROME</v>
          </cell>
        </row>
        <row r="165">
          <cell r="A165" t="str">
            <v>LYON -VENISE</v>
          </cell>
        </row>
        <row r="166">
          <cell r="A166" t="str">
            <v>LYON -CATANE</v>
          </cell>
        </row>
        <row r="167">
          <cell r="A167" t="str">
            <v>LYON -PALERME</v>
          </cell>
        </row>
        <row r="168">
          <cell r="A168" t="str">
            <v>LYON -MILAN</v>
          </cell>
        </row>
        <row r="169">
          <cell r="A169" t="str">
            <v>LYON -SENDAI</v>
          </cell>
        </row>
        <row r="170">
          <cell r="A170" t="str">
            <v>LYON -TOKYO</v>
          </cell>
        </row>
        <row r="171">
          <cell r="A171" t="str">
            <v>LYON -LUXEMBOURG</v>
          </cell>
        </row>
        <row r="172">
          <cell r="A172" t="str">
            <v>LYON -FEZ</v>
          </cell>
        </row>
        <row r="173">
          <cell r="A173" t="str">
            <v>LYON -RABAT</v>
          </cell>
        </row>
        <row r="174">
          <cell r="A174" t="str">
            <v>LYON -CASABLANCA</v>
          </cell>
        </row>
        <row r="175">
          <cell r="A175" t="str">
            <v>LYON -MAURICE</v>
          </cell>
        </row>
        <row r="176">
          <cell r="A176" t="str">
            <v>LYON -MONTEREY MEXICO</v>
          </cell>
        </row>
        <row r="177">
          <cell r="A177" t="str">
            <v>LYON -MEXICO</v>
          </cell>
        </row>
        <row r="178">
          <cell r="A178" t="str">
            <v>LYON -OSLO</v>
          </cell>
        </row>
        <row r="179">
          <cell r="A179" t="str">
            <v>LYON -TRONDHEIM</v>
          </cell>
        </row>
        <row r="180">
          <cell r="A180" t="str">
            <v>LYON -AMSTERDAM</v>
          </cell>
        </row>
        <row r="181">
          <cell r="A181" t="str">
            <v>LYON -WROCLAW</v>
          </cell>
        </row>
        <row r="182">
          <cell r="A182" t="str">
            <v>LYON -VARSOVIE</v>
          </cell>
        </row>
        <row r="183">
          <cell r="A183" t="str">
            <v>LYON -PORTO</v>
          </cell>
        </row>
        <row r="184">
          <cell r="A184" t="str">
            <v>LYON -LISBONNE</v>
          </cell>
        </row>
        <row r="185">
          <cell r="A185" t="str">
            <v>LYON -PRAGUE</v>
          </cell>
        </row>
        <row r="186">
          <cell r="A186" t="str">
            <v>LYON -CLUJ</v>
          </cell>
        </row>
        <row r="187">
          <cell r="A187" t="str">
            <v>LYON -BUCAREST</v>
          </cell>
        </row>
        <row r="188">
          <cell r="A188" t="str">
            <v>LYON -BELGRADE</v>
          </cell>
        </row>
        <row r="189">
          <cell r="A189" t="str">
            <v>LYON -SINGAPOUR</v>
          </cell>
        </row>
        <row r="190">
          <cell r="A190" t="str">
            <v>LYON -GOTEBORG</v>
          </cell>
        </row>
        <row r="191">
          <cell r="A191" t="str">
            <v>LYON -STOCKHOLM</v>
          </cell>
        </row>
        <row r="192">
          <cell r="A192" t="str">
            <v>LYON -ZURICH</v>
          </cell>
        </row>
        <row r="193">
          <cell r="A193" t="str">
            <v>LYON -NDJAMENA</v>
          </cell>
        </row>
        <row r="194">
          <cell r="A194" t="str">
            <v>LYON -TUNIS</v>
          </cell>
        </row>
        <row r="195">
          <cell r="A195" t="str">
            <v>LYON -KIEV  BORYSPIL</v>
          </cell>
        </row>
        <row r="196">
          <cell r="A196" t="str">
            <v>LYON -BOSTON</v>
          </cell>
        </row>
        <row r="197">
          <cell r="A197" t="str">
            <v>LYON -NEW YORK</v>
          </cell>
        </row>
        <row r="198">
          <cell r="A198" t="str">
            <v>LYON -WASHINGTON</v>
          </cell>
        </row>
        <row r="199">
          <cell r="A199" t="str">
            <v>LYON -ORLANDO</v>
          </cell>
        </row>
        <row r="200">
          <cell r="A200" t="str">
            <v>LYON -NEW ORLEANS</v>
          </cell>
        </row>
        <row r="201">
          <cell r="A201" t="str">
            <v>LYON -PHOENIX</v>
          </cell>
        </row>
        <row r="202">
          <cell r="A202" t="str">
            <v>LYON -SALT LAKE CITY</v>
          </cell>
        </row>
        <row r="203">
          <cell r="A203" t="str">
            <v>LYON -LOS ANGELES</v>
          </cell>
        </row>
        <row r="204">
          <cell r="A204" t="str">
            <v>LYON -HO CHI MINH VIL</v>
          </cell>
        </row>
        <row r="205">
          <cell r="A205" t="str">
            <v>LYON -CONSTANTINE</v>
          </cell>
        </row>
        <row r="206">
          <cell r="A206" t="str">
            <v>LYON -ORAN</v>
          </cell>
        </row>
        <row r="207">
          <cell r="A207" t="str">
            <v>LYON -PERTH</v>
          </cell>
        </row>
        <row r="208">
          <cell r="A208" t="str">
            <v>LYON -INNSBRUCK</v>
          </cell>
        </row>
        <row r="209">
          <cell r="A209" t="str">
            <v>LYON -RECIFE</v>
          </cell>
        </row>
        <row r="210">
          <cell r="A210" t="str">
            <v>LYON -SOFIA</v>
          </cell>
        </row>
        <row r="211">
          <cell r="A211" t="str">
            <v>LYON -OUAGADOUGOU</v>
          </cell>
        </row>
        <row r="212">
          <cell r="A212" t="str">
            <v>LYON -TORONTO</v>
          </cell>
        </row>
        <row r="213">
          <cell r="A213" t="str">
            <v>LYON -TORONTO BILLY BISHOP CITY A/</v>
          </cell>
        </row>
        <row r="214">
          <cell r="A214" t="str">
            <v>LYON -VANCOUVER</v>
          </cell>
        </row>
        <row r="215">
          <cell r="A215" t="str">
            <v>LYON -XIAN</v>
          </cell>
        </row>
        <row r="216">
          <cell r="A216" t="str">
            <v>LYON -LARNACA</v>
          </cell>
        </row>
        <row r="217">
          <cell r="A217" t="str">
            <v>LYON -CARTAGENA</v>
          </cell>
        </row>
        <row r="218">
          <cell r="A218" t="str">
            <v>LYON -BOGOTA</v>
          </cell>
        </row>
        <row r="219">
          <cell r="A219" t="str">
            <v>LYON -SEOUL</v>
          </cell>
        </row>
        <row r="220">
          <cell r="A220" t="str">
            <v>LYON -DUBROVNIK</v>
          </cell>
        </row>
        <row r="221">
          <cell r="A221" t="str">
            <v>LYON -COPENHAGUE</v>
          </cell>
        </row>
        <row r="222">
          <cell r="A222" t="str">
            <v>LYON -STUTTGART</v>
          </cell>
        </row>
        <row r="223">
          <cell r="A223" t="str">
            <v>LYON -FRANCFORT</v>
          </cell>
        </row>
        <row r="224">
          <cell r="A224" t="str">
            <v>LYON -NUREMBERG</v>
          </cell>
        </row>
        <row r="225">
          <cell r="A225" t="str">
            <v>LYON -DUSSELDORF</v>
          </cell>
        </row>
        <row r="226">
          <cell r="A226" t="str">
            <v>LYON -HANOVRE</v>
          </cell>
        </row>
        <row r="227">
          <cell r="A227" t="str">
            <v>LYON -VALENCE</v>
          </cell>
        </row>
        <row r="228">
          <cell r="A228" t="str">
            <v>LYON -MALAGA</v>
          </cell>
        </row>
        <row r="229">
          <cell r="A229" t="str">
            <v>LYON -SEVILLE</v>
          </cell>
        </row>
        <row r="230">
          <cell r="A230" t="str">
            <v>LYON -TALLIN</v>
          </cell>
        </row>
        <row r="231">
          <cell r="A231" t="str">
            <v>LYON -METZ NANCY</v>
          </cell>
        </row>
        <row r="232">
          <cell r="A232" t="str">
            <v>LYON -PAU</v>
          </cell>
        </row>
        <row r="233">
          <cell r="A233" t="str">
            <v>LYON -EDIMBOURG</v>
          </cell>
        </row>
        <row r="234">
          <cell r="A234" t="str">
            <v>LYON -GLASGOW</v>
          </cell>
        </row>
        <row r="235">
          <cell r="A235" t="str">
            <v>LYON -ATHENES</v>
          </cell>
        </row>
        <row r="236">
          <cell r="A236" t="str">
            <v>LYON -BUDAPEST</v>
          </cell>
        </row>
        <row r="237">
          <cell r="A237" t="str">
            <v>LYON -GOA</v>
          </cell>
        </row>
        <row r="238">
          <cell r="A238" t="str">
            <v>LYON -DUBLIN</v>
          </cell>
        </row>
        <row r="239">
          <cell r="A239" t="str">
            <v>LYON -TEL AVIV</v>
          </cell>
        </row>
        <row r="240">
          <cell r="A240" t="str">
            <v>LYON -ROME</v>
          </cell>
        </row>
        <row r="241">
          <cell r="A241" t="str">
            <v>LYON -NAPLES</v>
          </cell>
        </row>
        <row r="242">
          <cell r="A242" t="str">
            <v>LYON -BEYROUTH</v>
          </cell>
        </row>
        <row r="243">
          <cell r="A243" t="str">
            <v>LYON -SKOPJE</v>
          </cell>
        </row>
        <row r="244">
          <cell r="A244" t="str">
            <v>LYON -FEZ</v>
          </cell>
        </row>
        <row r="245">
          <cell r="A245" t="str">
            <v>LYON -MARRAKECH</v>
          </cell>
        </row>
        <row r="246">
          <cell r="A246" t="str">
            <v>LYON -FORT DE FRANCE</v>
          </cell>
        </row>
        <row r="247">
          <cell r="A247" t="str">
            <v>LYON -LIMA</v>
          </cell>
        </row>
        <row r="248">
          <cell r="A248" t="str">
            <v>LYON -LISBONNE</v>
          </cell>
        </row>
        <row r="249">
          <cell r="A249" t="str">
            <v>LYON -FUNCHAL</v>
          </cell>
        </row>
        <row r="250">
          <cell r="A250" t="str">
            <v>LYON -SAINT DENIS</v>
          </cell>
        </row>
        <row r="251">
          <cell r="A251" t="str">
            <v>LYON -BUCAREST</v>
          </cell>
        </row>
        <row r="252">
          <cell r="A252" t="str">
            <v>LYON -MOSCOU</v>
          </cell>
        </row>
        <row r="253">
          <cell r="A253" t="str">
            <v>LYON -DAKAR</v>
          </cell>
        </row>
        <row r="254">
          <cell r="A254" t="str">
            <v>LYON -LJUBLJANA</v>
          </cell>
        </row>
        <row r="255">
          <cell r="A255" t="str">
            <v>LYON -GOTEBORG</v>
          </cell>
        </row>
        <row r="256">
          <cell r="A256" t="str">
            <v>LYON -TAIPEI</v>
          </cell>
        </row>
        <row r="257">
          <cell r="A257" t="str">
            <v>LYON -KIEV  BORYSPIL</v>
          </cell>
        </row>
        <row r="258">
          <cell r="A258" t="str">
            <v>LYON -STATE COLLEGE</v>
          </cell>
        </row>
        <row r="259">
          <cell r="A259" t="str">
            <v>LYON -BOSTON</v>
          </cell>
        </row>
        <row r="260">
          <cell r="A260" t="str">
            <v>LYON -ALLENTOWN</v>
          </cell>
        </row>
        <row r="261">
          <cell r="A261" t="str">
            <v>LYON -PHILADELPHIE</v>
          </cell>
        </row>
        <row r="262">
          <cell r="A262" t="str">
            <v>LYON -CLEVELAND</v>
          </cell>
        </row>
        <row r="263">
          <cell r="A263" t="str">
            <v>LYON -KONA</v>
          </cell>
        </row>
        <row r="264">
          <cell r="A264" t="str">
            <v>LYON -CHICAGO</v>
          </cell>
        </row>
        <row r="265">
          <cell r="A265" t="str">
            <v>LYON -MINNEAPOLIS</v>
          </cell>
        </row>
        <row r="266">
          <cell r="A266" t="str">
            <v>LYON -ATLANTA</v>
          </cell>
        </row>
        <row r="267">
          <cell r="A267" t="str">
            <v>LYON -DENVER</v>
          </cell>
        </row>
        <row r="268">
          <cell r="A268" t="str">
            <v>LYON -SALT LAKE CITY</v>
          </cell>
        </row>
        <row r="269">
          <cell r="A269" t="str">
            <v>LYON -LAS VEGAS</v>
          </cell>
        </row>
        <row r="270">
          <cell r="A270" t="str">
            <v>LYON -SAN DIEGO</v>
          </cell>
        </row>
        <row r="271">
          <cell r="A271" t="str">
            <v>LYON -BORDEAUX</v>
          </cell>
        </row>
        <row r="272">
          <cell r="A272" t="str">
            <v>LYON -BREST</v>
          </cell>
        </row>
        <row r="273">
          <cell r="A273" t="str">
            <v>LYON -DUBLIN</v>
          </cell>
        </row>
        <row r="274">
          <cell r="A274" t="str">
            <v>LYON -CLUJ</v>
          </cell>
        </row>
        <row r="275">
          <cell r="A275" t="str">
            <v>LYON -ANTALYA</v>
          </cell>
        </row>
        <row r="276">
          <cell r="A276" t="str">
            <v>MADRID -BARCELONE</v>
          </cell>
        </row>
        <row r="277">
          <cell r="A277" t="str">
            <v>MADRID -LYON</v>
          </cell>
        </row>
        <row r="278">
          <cell r="A278" t="str">
            <v>MADRID -CARACAS</v>
          </cell>
        </row>
        <row r="279">
          <cell r="A279" t="str">
            <v>MALAGA -LYON</v>
          </cell>
        </row>
        <row r="280">
          <cell r="A280" t="str">
            <v>MANCHESTER -LYON</v>
          </cell>
        </row>
        <row r="281">
          <cell r="A281" t="str">
            <v>MANCHESTER -LYON</v>
          </cell>
        </row>
        <row r="282">
          <cell r="A282" t="str">
            <v>MARRAKECH -LYON</v>
          </cell>
        </row>
        <row r="283">
          <cell r="A283" t="str">
            <v>MARSEILLE -FEZ</v>
          </cell>
        </row>
        <row r="284">
          <cell r="A284" t="str">
            <v>MARSEILLE -CASABLANCA</v>
          </cell>
        </row>
        <row r="285">
          <cell r="A285" t="str">
            <v>MARSEILLE -BELGRADE</v>
          </cell>
        </row>
        <row r="286">
          <cell r="A286" t="str">
            <v>MARSEILLE -BASTIA</v>
          </cell>
        </row>
        <row r="287">
          <cell r="A287" t="str">
            <v>MARSEILLE -PARIS</v>
          </cell>
        </row>
        <row r="288">
          <cell r="A288" t="str">
            <v>MARSEILLE -HERAKLION</v>
          </cell>
        </row>
        <row r="289">
          <cell r="A289" t="str">
            <v>MARSEILLE -CASABLANCA</v>
          </cell>
        </row>
        <row r="290">
          <cell r="A290" t="str">
            <v>METZ NANCY -LYON</v>
          </cell>
        </row>
        <row r="291">
          <cell r="A291" t="str">
            <v>MEXICO -MERIDA</v>
          </cell>
        </row>
        <row r="292">
          <cell r="A292" t="str">
            <v>MEXICO -PARIS</v>
          </cell>
        </row>
        <row r="293">
          <cell r="A293" t="str">
            <v>MILAN -MUNICH</v>
          </cell>
        </row>
        <row r="294">
          <cell r="A294" t="str">
            <v>MILAN -TOULOUSE</v>
          </cell>
        </row>
        <row r="295">
          <cell r="A295" t="str">
            <v>MILAN -LYON</v>
          </cell>
        </row>
        <row r="296">
          <cell r="A296" t="str">
            <v>MONTPELLIER -SEOUL</v>
          </cell>
        </row>
        <row r="297">
          <cell r="A297" t="str">
            <v>MONTREAL -LYON</v>
          </cell>
        </row>
        <row r="298">
          <cell r="A298" t="str">
            <v>MOSCOU -LYON</v>
          </cell>
        </row>
        <row r="299">
          <cell r="A299" t="str">
            <v>MUNICH -LYON</v>
          </cell>
        </row>
        <row r="300">
          <cell r="A300" t="str">
            <v>NANTES -LYON</v>
          </cell>
        </row>
        <row r="301">
          <cell r="A301" t="str">
            <v>NANTES -PHILADELPHIE</v>
          </cell>
        </row>
        <row r="302">
          <cell r="A302" t="str">
            <v>NANTES -CASABLANCA</v>
          </cell>
        </row>
        <row r="303">
          <cell r="A303" t="str">
            <v>NANTES -LYON</v>
          </cell>
        </row>
        <row r="304">
          <cell r="A304" t="str">
            <v>NAPLES -PALERME</v>
          </cell>
        </row>
        <row r="305">
          <cell r="A305" t="str">
            <v>NAPLES -LYON</v>
          </cell>
        </row>
        <row r="306">
          <cell r="A306" t="str">
            <v>NDJAMENA -LYON</v>
          </cell>
        </row>
        <row r="307">
          <cell r="A307" t="str">
            <v>NDJAMENA -PARIS</v>
          </cell>
        </row>
        <row r="308">
          <cell r="A308" t="str">
            <v>NDJAMENA -DAKAR</v>
          </cell>
        </row>
        <row r="309">
          <cell r="A309" t="str">
            <v>NEW YORK -PITTSBURGH</v>
          </cell>
        </row>
        <row r="310">
          <cell r="A310" t="str">
            <v>NICE -LYON</v>
          </cell>
        </row>
        <row r="311">
          <cell r="A311" t="str">
            <v>NICE -MUNICH</v>
          </cell>
        </row>
        <row r="312">
          <cell r="A312" t="str">
            <v>NICE -LYON</v>
          </cell>
        </row>
        <row r="313">
          <cell r="A313" t="str">
            <v>NICE -PARIS</v>
          </cell>
        </row>
        <row r="314">
          <cell r="A314" t="str">
            <v>NICE -BIARRITZ</v>
          </cell>
        </row>
        <row r="315">
          <cell r="A315" t="str">
            <v>NICE -HONG KONG</v>
          </cell>
        </row>
        <row r="316">
          <cell r="A316" t="str">
            <v>NICE -MINNEAPOLIS</v>
          </cell>
        </row>
        <row r="317">
          <cell r="A317" t="str">
            <v>OUAGADOUGOU -LYON</v>
          </cell>
        </row>
        <row r="318">
          <cell r="A318" t="str">
            <v>OUJDA -PARIS</v>
          </cell>
        </row>
        <row r="319">
          <cell r="A319" t="str">
            <v>PARIS -PEKIN</v>
          </cell>
        </row>
        <row r="320">
          <cell r="A320" t="str">
            <v>PARIS -SHANGAI</v>
          </cell>
        </row>
        <row r="321">
          <cell r="A321" t="str">
            <v>PARIS -COPENHAGUE</v>
          </cell>
        </row>
        <row r="322">
          <cell r="A322" t="str">
            <v>PARIS -BARCELONE</v>
          </cell>
        </row>
        <row r="323">
          <cell r="A323" t="str">
            <v>PARIS -LYON</v>
          </cell>
        </row>
        <row r="324">
          <cell r="A324" t="str">
            <v>PARIS -SOUTHAMPTON</v>
          </cell>
        </row>
        <row r="325">
          <cell r="A325" t="str">
            <v>PARIS -TOKYO</v>
          </cell>
        </row>
        <row r="326">
          <cell r="A326" t="str">
            <v>PARIS -OUJDA</v>
          </cell>
        </row>
        <row r="327">
          <cell r="A327" t="str">
            <v>PARIS -RABAT</v>
          </cell>
        </row>
        <row r="328">
          <cell r="A328" t="str">
            <v>PARIS -FEZ</v>
          </cell>
        </row>
        <row r="329">
          <cell r="A329" t="str">
            <v>PARIS -CASABLANCA</v>
          </cell>
        </row>
        <row r="330">
          <cell r="A330" t="str">
            <v>PARIS -PRAGUE</v>
          </cell>
        </row>
        <row r="331">
          <cell r="A331" t="str">
            <v>PARIS -SAINT DENIS</v>
          </cell>
        </row>
        <row r="332">
          <cell r="A332" t="str">
            <v>PARIS -BELGRADE</v>
          </cell>
        </row>
        <row r="333">
          <cell r="A333" t="str">
            <v>PARIS -GOTEBORG</v>
          </cell>
        </row>
        <row r="334">
          <cell r="A334" t="str">
            <v>PARIS -ORLANDO</v>
          </cell>
        </row>
        <row r="335">
          <cell r="A335" t="str">
            <v>PARIS -CARTAGENA</v>
          </cell>
        </row>
        <row r="336">
          <cell r="A336" t="str">
            <v>PARIS -TOULOUSE</v>
          </cell>
        </row>
        <row r="337">
          <cell r="A337" t="str">
            <v>PARIS -BELFAST</v>
          </cell>
        </row>
        <row r="338">
          <cell r="A338" t="str">
            <v>PARIS -DUBLIN</v>
          </cell>
        </row>
        <row r="339">
          <cell r="A339" t="str">
            <v>PARIS -MILAN</v>
          </cell>
        </row>
        <row r="340">
          <cell r="A340" t="str">
            <v>PARIS -PISE</v>
          </cell>
        </row>
        <row r="341">
          <cell r="A341" t="str">
            <v>PARIS -TOKYO</v>
          </cell>
        </row>
        <row r="342">
          <cell r="A342" t="str">
            <v>PARIS -CASABLANCA</v>
          </cell>
        </row>
        <row r="343">
          <cell r="A343" t="str">
            <v>PARIS -BRNO</v>
          </cell>
        </row>
        <row r="344">
          <cell r="A344" t="str">
            <v>PARIS -SAINT DENIS</v>
          </cell>
        </row>
        <row r="345">
          <cell r="A345" t="str">
            <v>PARIS -GOTEBORG</v>
          </cell>
        </row>
        <row r="346">
          <cell r="A346" t="str">
            <v>PARIS -ATLANTA</v>
          </cell>
        </row>
        <row r="347">
          <cell r="A347" t="str">
            <v>PAU -LYON</v>
          </cell>
        </row>
        <row r="348">
          <cell r="A348" t="str">
            <v>PAU -LYON</v>
          </cell>
        </row>
        <row r="349">
          <cell r="A349" t="str">
            <v>PEKIN -WEIHAI</v>
          </cell>
        </row>
        <row r="350">
          <cell r="A350" t="str">
            <v>PEKIN -XIAN</v>
          </cell>
        </row>
        <row r="351">
          <cell r="A351" t="str">
            <v>PEKIN -PARIS</v>
          </cell>
        </row>
        <row r="352">
          <cell r="A352" t="str">
            <v>PEKIN -LYON</v>
          </cell>
        </row>
        <row r="353">
          <cell r="A353" t="str">
            <v>PEKIN -SHANGAI</v>
          </cell>
        </row>
        <row r="354">
          <cell r="A354" t="str">
            <v>PERPIGNAN -PARIS</v>
          </cell>
        </row>
        <row r="355">
          <cell r="A355" t="str">
            <v>PHILADELPHIE -PITTSBURGH</v>
          </cell>
        </row>
        <row r="356">
          <cell r="A356" t="str">
            <v>PHILADELPHIE -NEW YORK</v>
          </cell>
        </row>
        <row r="357">
          <cell r="A357" t="str">
            <v>PITTSBURGH -NEW YORK</v>
          </cell>
        </row>
        <row r="358">
          <cell r="A358" t="str">
            <v>PITTSBURGH -STATE COLLEGE</v>
          </cell>
        </row>
        <row r="359">
          <cell r="A359" t="str">
            <v>POINTE A PITRE -FORT DE FRANCE</v>
          </cell>
        </row>
        <row r="360">
          <cell r="A360" t="str">
            <v>POITIERS -LYON</v>
          </cell>
        </row>
        <row r="361">
          <cell r="A361" t="str">
            <v>POITIERS -LYON</v>
          </cell>
        </row>
        <row r="362">
          <cell r="A362" t="str">
            <v>PORTO -LYON</v>
          </cell>
        </row>
        <row r="363">
          <cell r="A363" t="str">
            <v>PORTO -LYON</v>
          </cell>
        </row>
        <row r="364">
          <cell r="A364" t="str">
            <v>PORTO -AMMAN</v>
          </cell>
        </row>
        <row r="365">
          <cell r="A365" t="str">
            <v>PORTO -LYON</v>
          </cell>
        </row>
        <row r="366">
          <cell r="A366" t="str">
            <v>PRAGUE -LYON</v>
          </cell>
        </row>
        <row r="367">
          <cell r="A367" t="str">
            <v>QUITO -GUAYAQUIL</v>
          </cell>
        </row>
        <row r="368">
          <cell r="A368" t="str">
            <v>RENNES -LYON</v>
          </cell>
        </row>
        <row r="369">
          <cell r="A369" t="str">
            <v>RENNES -LYON</v>
          </cell>
        </row>
        <row r="370">
          <cell r="A370" t="str">
            <v>RHODES -LYON</v>
          </cell>
        </row>
        <row r="371">
          <cell r="A371" t="str">
            <v>RIGA -LYON</v>
          </cell>
        </row>
        <row r="372">
          <cell r="A372" t="str">
            <v>RIO DE JANEIRO -SAO PAULO</v>
          </cell>
        </row>
        <row r="373">
          <cell r="A373" t="str">
            <v>ROME -LYON</v>
          </cell>
        </row>
        <row r="374">
          <cell r="A374" t="str">
            <v>ROME -PARIS</v>
          </cell>
        </row>
        <row r="375">
          <cell r="A375" t="str">
            <v>SAINT DENIS -PARIS</v>
          </cell>
        </row>
        <row r="376">
          <cell r="A376" t="str">
            <v>SAINT ETIENNE -FEZ</v>
          </cell>
        </row>
        <row r="377">
          <cell r="A377" t="str">
            <v>SANTA CRUZ -LA PAZ</v>
          </cell>
        </row>
        <row r="378">
          <cell r="A378" t="str">
            <v>SANTA CRUZ -SAO PAULO</v>
          </cell>
        </row>
        <row r="379">
          <cell r="A379" t="str">
            <v>SANTIAGO DU CH. -CONCEPCION</v>
          </cell>
        </row>
        <row r="380">
          <cell r="A380" t="str">
            <v>SAO PAULO -SANTA CRUZ</v>
          </cell>
        </row>
        <row r="381">
          <cell r="A381" t="str">
            <v>SAO PAULO -RIO DE JANEIRO</v>
          </cell>
        </row>
        <row r="382">
          <cell r="A382" t="str">
            <v>SAO PAULO -UBERLANDIA</v>
          </cell>
        </row>
        <row r="383">
          <cell r="A383" t="str">
            <v>SAO PAULO -CURITIBA</v>
          </cell>
        </row>
        <row r="384">
          <cell r="A384" t="str">
            <v>SAO PAULO -RECIFE</v>
          </cell>
        </row>
        <row r="385">
          <cell r="A385" t="str">
            <v>SEOUL -HONG KONG</v>
          </cell>
        </row>
        <row r="386">
          <cell r="A386" t="str">
            <v>SEVILLE -LYON</v>
          </cell>
        </row>
        <row r="387">
          <cell r="A387" t="str">
            <v>SHANGAI -XIAN</v>
          </cell>
        </row>
        <row r="388">
          <cell r="A388" t="str">
            <v>SHANGAI -QUEBEC</v>
          </cell>
        </row>
        <row r="389">
          <cell r="A389" t="str">
            <v>SHANGAI -PEKIN</v>
          </cell>
        </row>
        <row r="390">
          <cell r="A390" t="str">
            <v>SHANGAI -LYON</v>
          </cell>
        </row>
        <row r="391">
          <cell r="A391" t="str">
            <v>SHANGAI -HONG KONG</v>
          </cell>
        </row>
        <row r="392">
          <cell r="A392" t="str">
            <v>STATE COLLEGE -PHILADELPHIE</v>
          </cell>
        </row>
        <row r="393">
          <cell r="A393" t="str">
            <v>STATE COLLEGE -WASHINGTON</v>
          </cell>
        </row>
        <row r="394">
          <cell r="A394" t="str">
            <v>STOCKHOLM -LYON</v>
          </cell>
        </row>
        <row r="395">
          <cell r="A395" t="str">
            <v>STUTTGART -LYON</v>
          </cell>
        </row>
        <row r="396">
          <cell r="A396" t="str">
            <v>TALLIN -LYON</v>
          </cell>
        </row>
        <row r="397">
          <cell r="A397" t="str">
            <v>TANGER -PARIS</v>
          </cell>
        </row>
        <row r="398">
          <cell r="A398" t="str">
            <v>TEL AVIV -LYON</v>
          </cell>
        </row>
        <row r="399">
          <cell r="A399" t="str">
            <v>TEL AVIV -PARIS</v>
          </cell>
        </row>
        <row r="400">
          <cell r="A400" t="str">
            <v>THIRA -PARIS</v>
          </cell>
        </row>
        <row r="401">
          <cell r="A401" t="str">
            <v>THIRA -ATHENES</v>
          </cell>
        </row>
        <row r="402">
          <cell r="A402" t="str">
            <v>TOKYO -PARIS</v>
          </cell>
        </row>
        <row r="403">
          <cell r="A403" t="str">
            <v>TOKYO -PARIS</v>
          </cell>
        </row>
        <row r="404">
          <cell r="A404" t="str">
            <v>TOULOUSE -LYON</v>
          </cell>
        </row>
        <row r="405">
          <cell r="A405" t="str">
            <v>TOULOUSE -FEZ</v>
          </cell>
        </row>
        <row r="406">
          <cell r="A406" t="str">
            <v>TOULOUSE -CASABLANCA</v>
          </cell>
        </row>
        <row r="407">
          <cell r="A407" t="str">
            <v>TOULOUSE -MERIDA</v>
          </cell>
        </row>
        <row r="408">
          <cell r="A408" t="str">
            <v>TOULOUSE -ORAN</v>
          </cell>
        </row>
        <row r="409">
          <cell r="A409" t="str">
            <v>TOULOUSE -MUNICH</v>
          </cell>
        </row>
        <row r="410">
          <cell r="A410" t="str">
            <v>TOULOUSE -PARIS</v>
          </cell>
        </row>
        <row r="411">
          <cell r="A411" t="str">
            <v>TOULOUSE -FEZ</v>
          </cell>
        </row>
        <row r="412">
          <cell r="A412" t="str">
            <v>TOULOUSE -CASABLANCA</v>
          </cell>
        </row>
        <row r="413">
          <cell r="A413" t="str">
            <v>TUNIS -MARSEILLE</v>
          </cell>
        </row>
        <row r="414">
          <cell r="A414" t="str">
            <v>TURIN -MADRID</v>
          </cell>
        </row>
        <row r="415">
          <cell r="A415" t="str">
            <v>VARSOVIE -LYON</v>
          </cell>
        </row>
        <row r="416">
          <cell r="A416" t="str">
            <v>VENISE -LYON</v>
          </cell>
        </row>
        <row r="417">
          <cell r="A417" t="str">
            <v>VIENNE -LYON</v>
          </cell>
        </row>
        <row r="418">
          <cell r="A418" t="str">
            <v>XIAN -WEIHAI</v>
          </cell>
        </row>
        <row r="419">
          <cell r="A419" t="str">
            <v>XIAN -SHANGAI</v>
          </cell>
        </row>
        <row r="420">
          <cell r="A420" t="str">
            <v>XIAN -TAIPEI</v>
          </cell>
        </row>
        <row r="421">
          <cell r="A421" t="str">
            <v>ZURICH -LYON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tonin Guy" id="{3361A586-E13E-8349-9061-1A5C84295017}" userId="S::aguy@vulog.onmicrosoft.com::de402b8b-08af-4193-ae52-076075a82303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2F61CA-D2AE-48C8-A8B7-8075636AA251}" name="Tableau2" displayName="Tableau2" ref="B25:P32" totalsRowCount="1">
  <autoFilter ref="B25:P31" xr:uid="{6B2F61CA-D2AE-48C8-A8B7-8075636AA2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2D805BE-972B-44D7-A728-7E15AC2AB3C1}" name="année" totalsRowLabel="Total" dataDxfId="60"/>
    <tableColumn id="2" xr3:uid="{883F4C69-6DD8-4128-8384-37CC30F11ED9}" name="Papiers-cartons" totalsRowFunction="sum"/>
    <tableColumn id="3" xr3:uid="{6128D41E-8279-4C64-937C-5D9CA466AD52}" name="Fermentescibles" totalsRowFunction="sum"/>
    <tableColumn id="9" xr3:uid="{90922556-7B42-40B3-959E-70F141E50F31}" name="DEEE divers" totalsRowFunction="sum"/>
    <tableColumn id="13" xr3:uid="{8B248FAE-5979-4552-A05C-AE80A04CAF69}" name="DEEE dont GEMF" totalsRowFunction="sum"/>
    <tableColumn id="11" xr3:uid="{FE0E3934-870D-4F6B-AFE5-E16520F03DF0}" name="DEEE Ecrans plats" totalsRowFunction="sum"/>
    <tableColumn id="10" xr3:uid="{444DB184-7022-450D-AFB0-0EE674BC09F2}" name="DEEE GEMHF" totalsRowFunction="sum"/>
    <tableColumn id="5" xr3:uid="{1B8DDB83-7906-48C5-8378-5D1BA0C839E0}" name="DIB" totalsRowFunction="sum"/>
    <tableColumn id="6" xr3:uid="{4812DDFA-2187-428D-88CC-EE6D52AC33FD}" name="Déchets d'emballages recyclables" totalsRowFunction="sum"/>
    <tableColumn id="15" xr3:uid="{DFE9D8EC-F0FB-448A-82C2-3C7B29666DAD}" name="Bennes Bois" totalsRowFunction="sum"/>
    <tableColumn id="16" xr3:uid="{8D2F2247-D1B6-4913-BCD1-5BFB1A5B2AA4}" name="Bennes férailles" totalsRowFunction="sum"/>
    <tableColumn id="17" xr3:uid="{91BB081D-713C-4F44-8CCC-E1C55B0F5800}" name="Bennes Gravats" totalsRowFunction="sum"/>
    <tableColumn id="7" xr3:uid="{6B26257B-6E34-4492-BF46-7A1ADC0F16CE}" name="Bennes Autres" totalsRowFunction="sum"/>
    <tableColumn id="8" xr3:uid="{EC4FF60D-B9F4-4FF7-B054-2A25A4876C95}" name="Déchets verts" totalsRowFunction="sum" totalsRowDxfId="59"/>
    <tableColumn id="18" xr3:uid="{241DD149-3371-4369-AD95-7C990138B95D}" name="Total année" dataDxfId="58" totalsRowDxfId="57">
      <calculatedColumnFormula>SUM(Tableau2[[#This Row],[Papiers-cartons]:[Déchets verts]])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3F32CA-44D7-4D3D-9CB4-2FE170984ED2}" name="Tableau24" displayName="Tableau24" ref="B37:P44" totalsRowCount="1">
  <autoFilter ref="B37:P43" xr:uid="{103F32CA-44D7-4D3D-9CB4-2FE170984ED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690F5ED-E7FD-4539-BC93-E8EBA67CC3B9}" name="année" totalsRowLabel="Total" dataDxfId="56"/>
    <tableColumn id="2" xr3:uid="{E0A9B3A8-0957-4094-BAEC-D44BA715EB97}" name="Papiers-cartons" totalsRowFunction="sum" dataDxfId="55" totalsRowDxfId="54">
      <calculatedColumnFormula>C26*$D$20/1000</calculatedColumnFormula>
    </tableColumn>
    <tableColumn id="3" xr3:uid="{E51CE8D3-D4A4-427F-8900-A914435A01A5}" name="Fermentescibles" totalsRowFunction="sum" dataDxfId="53" totalsRowDxfId="52">
      <calculatedColumnFormula>D26*$D$16/1000</calculatedColumnFormula>
    </tableColumn>
    <tableColumn id="9" xr3:uid="{7F891147-A6DC-4600-8493-4AD20DDC67C1}" name="DEEE divers" totalsRowFunction="sum" dataDxfId="51" totalsRowDxfId="50">
      <calculatedColumnFormula>E26*$D$10/1000</calculatedColumnFormula>
    </tableColumn>
    <tableColumn id="12" xr3:uid="{E945E321-FA8D-4637-B198-ADBC11181589}" name="DEEE dont GEMF" totalsRowFunction="sum" dataDxfId="49" totalsRowDxfId="48">
      <calculatedColumnFormula>F26*$D$11/1000</calculatedColumnFormula>
    </tableColumn>
    <tableColumn id="11" xr3:uid="{A373FD97-411A-4BCF-9E46-8CA4522039D2}" name="DEEE Ecrans plats" totalsRowFunction="sum" dataDxfId="47" totalsRowDxfId="46">
      <calculatedColumnFormula>G26*$D$12/1000</calculatedColumnFormula>
    </tableColumn>
    <tableColumn id="10" xr3:uid="{FDAD06BC-5C16-4C24-B57B-4C35DB61223A}" name="DEEE GEMHF" totalsRowFunction="sum" dataDxfId="45" totalsRowDxfId="44">
      <calculatedColumnFormula>H26*$D$14/1000</calculatedColumnFormula>
    </tableColumn>
    <tableColumn id="5" xr3:uid="{D84BC32C-5406-47AB-A858-AB57CE5ADD3C}" name="DIB" totalsRowFunction="sum" dataDxfId="43" totalsRowDxfId="42">
      <calculatedColumnFormula>I26*$D$15/1000</calculatedColumnFormula>
    </tableColumn>
    <tableColumn id="6" xr3:uid="{01FCC38F-4B5C-4B8E-BCE2-0949D5D7D814}" name="Déchets d'emballages recyclables" totalsRowFunction="sum" dataDxfId="41" totalsRowDxfId="40">
      <calculatedColumnFormula>J26*$D$8/1000</calculatedColumnFormula>
    </tableColumn>
    <tableColumn id="14" xr3:uid="{608C873F-A2F4-4785-8646-78DA725DE327}" name="Bennes Bois" totalsRowFunction="sum" dataDxfId="39" totalsRowDxfId="38">
      <calculatedColumnFormula>K26*$D$4/1000</calculatedColumnFormula>
    </tableColumn>
    <tableColumn id="15" xr3:uid="{F2FA81DD-3B86-4C30-8E0F-BEA0B3365936}" name="Bennes férailles" totalsRowFunction="sum" dataDxfId="37" totalsRowDxfId="36">
      <calculatedColumnFormula>L26*$D$18/1000</calculatedColumnFormula>
    </tableColumn>
    <tableColumn id="16" xr3:uid="{675F9B46-E9E9-49A8-A6FD-21FB39A14860}" name="Bennes Gravats" totalsRowFunction="sum" dataDxfId="35" totalsRowDxfId="34">
      <calculatedColumnFormula>M26*$D$17/1000</calculatedColumnFormula>
    </tableColumn>
    <tableColumn id="7" xr3:uid="{94717233-05ED-4A67-96A1-F85A2A2DD862}" name="Bennes Autres" totalsRowFunction="sum" dataDxfId="33" totalsRowDxfId="32">
      <calculatedColumnFormula>N26*$D$15/1000</calculatedColumnFormula>
    </tableColumn>
    <tableColumn id="8" xr3:uid="{66522ED1-B8C8-4B60-836E-33C94686B25D}" name="Déchets verts" totalsRowFunction="sum" dataDxfId="31" totalsRowDxfId="30">
      <calculatedColumnFormula>O26*$D$9/1000</calculatedColumnFormula>
    </tableColumn>
    <tableColumn id="17" xr3:uid="{379CA9CE-0D91-4486-B309-F0F1B3517E55}" name="Total année" dataDxfId="29" totalsRowDxfId="28">
      <calculatedColumnFormula>SUM(Tableau24[[#This Row],[Papiers-cartons]:[Déchets verts]])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E8DAB33-76A6-404F-9E9B-CEF842BA7AAC}" name="Tableau4" displayName="Tableau4" ref="B3:E20" totalsRowShown="0" headerRowDxfId="27" headerRowBorderDxfId="26" tableBorderDxfId="25">
  <autoFilter ref="B3:E20" xr:uid="{0E8DAB33-76A6-404F-9E9B-CEF842BA7AAC}">
    <filterColumn colId="0" hiddenButton="1"/>
    <filterColumn colId="1" hiddenButton="1"/>
    <filterColumn colId="2" hiddenButton="1"/>
    <filterColumn colId="3" hiddenButton="1"/>
  </autoFilter>
  <sortState xmlns:xlrd2="http://schemas.microsoft.com/office/spreadsheetml/2017/richdata2" ref="B4:E20">
    <sortCondition ref="B3:B20"/>
  </sortState>
  <tableColumns count="4">
    <tableColumn id="1" xr3:uid="{3178B972-F7C5-48E0-BBFE-92DFADE2E587}" name="Type de déchet" dataDxfId="24"/>
    <tableColumn id="2" xr3:uid="{16E7DD64-B7FA-43E0-9D02-6AD606449ADE}" name="Type de valorisation" dataDxfId="23"/>
    <tableColumn id="3" xr3:uid="{C883FFFA-3A6D-4E86-94B3-42E052F307A3}" name="Facteur d'émission (kgCO2e/t)" dataDxfId="22"/>
    <tableColumn id="4" xr3:uid="{214877C2-AF0A-4034-8F68-37EE2C272160}" name="Incertitude" dataDxfId="2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0EC10D-9F15-4FB2-ADEF-8AC424C4B8DF}" name="Tableau1" displayName="Tableau1" ref="B2:K38" totalsRowShown="0" headerRowDxfId="20" dataDxfId="18" headerRowBorderDxfId="19" tableBorderDxfId="17">
  <autoFilter ref="B2:K38" xr:uid="{36C37BEE-64E0-423E-B00B-4F1CE400B5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8E99EEE-F254-4BB9-8B29-DACCACDC4DEE}" name="Modèle" dataDxfId="16"/>
    <tableColumn id="2" xr3:uid="{F4207F98-0A88-49D1-8F10-A9A97135F896}" name="Date acquisition" dataDxfId="15"/>
    <tableColumn id="3" xr3:uid="{B3AFA959-9CE0-4536-8965-CF7A1BA84194}" name="Date de restitution" dataDxfId="14"/>
    <tableColumn id="4" xr3:uid="{67660465-EAA9-4100-84CF-F77AD9EE0A9E}" name="Affectation" dataDxfId="13"/>
    <tableColumn id="5" xr3:uid="{8580A6E2-691E-40CD-802F-2920A1431CB9}" name="TYPE" dataDxfId="12"/>
    <tableColumn id="6" xr3:uid="{CD30E618-2763-4582-BC42-ED7EA8CE1F71}" name="CAT" dataDxfId="11"/>
    <tableColumn id="7" xr3:uid="{8D77FA7F-854C-4B4E-8B83-D52B6EB2FB17}" name="carburant" dataDxfId="10"/>
    <tableColumn id="8" xr3:uid="{DA842D01-79CD-4618-BEE5-6F1121DCC124}" name="CO²" dataDxfId="9"/>
    <tableColumn id="9" xr3:uid="{4F79483F-F3DE-497C-89C8-002E70277DDA}" name="poids (kg)" dataDxfId="8"/>
    <tableColumn id="10" xr3:uid="{223DFABB-69C7-4E6C-8601-E0055809F5DE}" name="Infos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826060E-17F5-473D-B0CF-EE3894506921}" name="Tableau6" displayName="Tableau6" ref="B6:C17" totalsRowCount="1">
  <autoFilter ref="B6:C16" xr:uid="{7826060E-17F5-473D-B0CF-EE3894506921}"/>
  <sortState xmlns:xlrd2="http://schemas.microsoft.com/office/spreadsheetml/2017/richdata2" ref="B7:C16">
    <sortCondition ref="B6:B16"/>
  </sortState>
  <tableColumns count="2">
    <tableColumn id="1" xr3:uid="{7B6A88A9-35F5-40BE-B914-9D6A722EF7D1}" name="Département" totalsRowLabel="Total" dataDxfId="7" totalsRowDxfId="6"/>
    <tableColumn id="2" xr3:uid="{577BF2EF-32C5-4BCE-8874-A5A755D7C911}" name="Emissions (tCO2e)" totalsRowFunction="sum" dataDxfId="5"/>
  </tableColumns>
  <tableStyleInfo name="TableStyleMedium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2698721-A80F-45E0-A4C0-35FFD262360F}" name="Tableau7" displayName="Tableau7" ref="E6:F17" totalsRowCount="1">
  <autoFilter ref="E6:F16" xr:uid="{12698721-A80F-45E0-A4C0-35FFD262360F}"/>
  <sortState xmlns:xlrd2="http://schemas.microsoft.com/office/spreadsheetml/2017/richdata2" ref="E7:F16">
    <sortCondition descending="1" ref="F6:F16"/>
  </sortState>
  <tableColumns count="2">
    <tableColumn id="1" xr3:uid="{8BE241B1-B960-41A9-97E0-91ED8A70D6AD}" name="Département" totalsRowLabel="Total"/>
    <tableColumn id="2" xr3:uid="{7A5D3ED9-25A4-4FD2-ADA6-6DFCB66A389F}" name="Emissions (tCO2e)" totalsRowFunction="sum" dataDxfId="4" totalsRowDxfId="3"/>
  </tableColumns>
  <tableStyleInfo name="TableStyleMedium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9013E38-AA57-4B92-8FA9-221AF1CE4781}" name="Tableau8" displayName="Tableau8" ref="H6:I17" totalsRowCount="1">
  <autoFilter ref="H6:I16" xr:uid="{69013E38-AA57-4B92-8FA9-221AF1CE4781}"/>
  <sortState xmlns:xlrd2="http://schemas.microsoft.com/office/spreadsheetml/2017/richdata2" ref="H7:I16">
    <sortCondition ref="H6:H16"/>
  </sortState>
  <tableColumns count="2">
    <tableColumn id="1" xr3:uid="{78FAF3A2-864D-4875-9B9E-7D837528BCDF}" name="Département" totalsRowLabel="Total"/>
    <tableColumn id="2" xr3:uid="{FD6F40C2-9FCA-49D2-B1BC-13700BE80BA5}" name="Emissions (tCO2e)" totalsRowFunction="sum" dataDxfId="2" totalsRowDxfId="1"/>
  </tableColumns>
  <tableStyleInfo name="TableStyleMedium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A402561-C0A2-4DC4-B731-70CB23EA1B0C}" name="Tableau9" displayName="Tableau9" ref="L6:M17" totalsRowCount="1">
  <autoFilter ref="L6:M16" xr:uid="{FA402561-C0A2-4DC4-B731-70CB23EA1B0C}"/>
  <tableColumns count="2">
    <tableColumn id="1" xr3:uid="{CCD02EE5-A615-4B97-8CB2-DFB2CC01882E}" name="Département" totalsRowLabel="Total"/>
    <tableColumn id="2" xr3:uid="{9C18C876-D398-4D8C-B34C-F49F00266FDD}" name="Emissions (tCO2e)" totalsRowFunction="sum" dataDxfId="0">
      <calculatedColumnFormula>VLOOKUP(L7,Tableau6[],2,FALSE)+VLOOKUP(L7,Tableau7[],2,FALSE)+VLOOKUP(L7,Tableau8[],2,FALSE)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54" dT="2020-12-22T17:18:12.68" personId="{3361A586-E13E-8349-9061-1A5C84295017}" id="{1758F85C-1326-2647-8EF8-4778C4212BD8}">
    <text>Est-ce que l’ensemble des étudiants sont présents sur le site et doivent être considérés pour le Bilan Carbone ?</text>
  </threadedComment>
  <threadedComment ref="M72" dT="2020-12-22T17:19:45.91" personId="{3361A586-E13E-8349-9061-1A5C84295017}" id="{F3CA0E2E-DCA2-E042-8D81-E5F3CE0B6C0A}">
    <text>Incertitude non négligeable sur les déplacements aériens étudiants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omments" Target="../comments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6.xml"/><Relationship Id="rId4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12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1C0F-0AA5-467E-8902-53B8BC21F180}">
  <sheetPr>
    <tabColor rgb="FF7030A0"/>
  </sheetPr>
  <dimension ref="A2:Y169"/>
  <sheetViews>
    <sheetView showGridLines="0" topLeftCell="AD1" zoomScale="70" zoomScaleNormal="70" workbookViewId="0">
      <selection activeCell="Q125" sqref="Q125"/>
    </sheetView>
  </sheetViews>
  <sheetFormatPr baseColWidth="10" defaultColWidth="9.109375" defaultRowHeight="14.4" outlineLevelRow="1" outlineLevelCol="1"/>
  <cols>
    <col min="2" max="2" width="33" style="2" customWidth="1"/>
    <col min="3" max="3" width="11.109375" customWidth="1" outlineLevel="1"/>
    <col min="4" max="7" width="9.6640625" customWidth="1" outlineLevel="1"/>
    <col min="8" max="8" width="9.44140625" customWidth="1" outlineLevel="1"/>
    <col min="9" max="9" width="13.77734375" customWidth="1"/>
    <col min="10" max="10" width="10.44140625" customWidth="1"/>
    <col min="11" max="11" width="10.109375" customWidth="1"/>
    <col min="12" max="12" width="13.6640625" customWidth="1"/>
    <col min="13" max="13" width="13.5546875" customWidth="1"/>
    <col min="14" max="14" width="10" bestFit="1" customWidth="1"/>
    <col min="16" max="16" width="12.33203125" style="210" customWidth="1"/>
  </cols>
  <sheetData>
    <row r="2" spans="1:23">
      <c r="L2" s="112"/>
      <c r="M2" s="112"/>
      <c r="N2" s="112"/>
      <c r="O2" s="112"/>
    </row>
    <row r="3" spans="1:23" s="37" customFormat="1" ht="16.2" customHeight="1">
      <c r="A3" s="35"/>
      <c r="B3" s="36"/>
      <c r="C3" s="35"/>
      <c r="D3" s="35"/>
      <c r="E3" s="110"/>
      <c r="F3" s="35"/>
      <c r="G3" s="35"/>
      <c r="H3" s="35"/>
      <c r="L3" s="111"/>
      <c r="M3" s="111"/>
      <c r="N3" s="111"/>
      <c r="O3" s="111"/>
    </row>
    <row r="5" spans="1:23" ht="15" thickBot="1"/>
    <row r="6" spans="1:23" ht="15" thickBot="1">
      <c r="B6" s="566" t="s">
        <v>1108</v>
      </c>
      <c r="C6" s="567">
        <v>2019</v>
      </c>
    </row>
    <row r="7" spans="1:23">
      <c r="G7" s="605"/>
      <c r="H7" s="605"/>
    </row>
    <row r="8" spans="1:23">
      <c r="B8" s="9" t="s">
        <v>8</v>
      </c>
      <c r="C8" s="8" t="s">
        <v>797</v>
      </c>
      <c r="D8" s="8" t="s">
        <v>798</v>
      </c>
      <c r="H8" s="7"/>
    </row>
    <row r="9" spans="1:23">
      <c r="B9" s="6" t="s">
        <v>26</v>
      </c>
      <c r="C9" s="582">
        <f>SUM(C10:C14)</f>
        <v>2993.2437906670002</v>
      </c>
      <c r="D9" s="27">
        <f t="shared" ref="D9:D14" si="0">C9/$C$48</f>
        <v>0.34183714040773916</v>
      </c>
      <c r="H9" s="2"/>
      <c r="I9" s="11"/>
      <c r="J9" s="11"/>
      <c r="K9" s="10"/>
    </row>
    <row r="10" spans="1:23" outlineLevel="1">
      <c r="B10" s="12" t="s">
        <v>9</v>
      </c>
      <c r="C10" s="252">
        <f>HLOOKUP($C$6,$C$57:$N$97,ROW(A3),FALSE)</f>
        <v>1363.096</v>
      </c>
      <c r="D10" s="23">
        <f t="shared" si="0"/>
        <v>0.15566952487936039</v>
      </c>
      <c r="H10" s="2"/>
      <c r="I10" s="11"/>
      <c r="J10" s="11"/>
      <c r="K10" s="10"/>
      <c r="V10" s="369"/>
      <c r="W10" s="377"/>
    </row>
    <row r="11" spans="1:23" outlineLevel="1">
      <c r="B11" s="12" t="s">
        <v>23</v>
      </c>
      <c r="C11" s="252">
        <f>HLOOKUP($C$6,$C$57:$N$97,ROW(A4),FALSE)</f>
        <v>817.68042500000001</v>
      </c>
      <c r="D11" s="23">
        <f t="shared" si="0"/>
        <v>9.3381481027677793E-2</v>
      </c>
      <c r="V11" s="368"/>
      <c r="W11" s="377"/>
    </row>
    <row r="12" spans="1:23" outlineLevel="1">
      <c r="B12" s="12" t="s">
        <v>10</v>
      </c>
      <c r="C12" s="252">
        <f>HLOOKUP($C$6,$C$57:$N$97,ROW(A5),FALSE)</f>
        <v>772.17549406700005</v>
      </c>
      <c r="D12" s="23">
        <f t="shared" si="0"/>
        <v>8.8184685660360876E-2</v>
      </c>
      <c r="U12" s="368"/>
      <c r="V12" s="368"/>
      <c r="W12" s="377"/>
    </row>
    <row r="13" spans="1:23" outlineLevel="1">
      <c r="B13" s="12" t="s">
        <v>20</v>
      </c>
      <c r="C13" s="252">
        <f>HLOOKUP($C$6,$C$57:$N$97,ROW(A6),FALSE)</f>
        <v>19.149768000000002</v>
      </c>
      <c r="D13" s="23">
        <f t="shared" si="0"/>
        <v>2.1869591621646459E-3</v>
      </c>
      <c r="U13" s="368"/>
      <c r="V13" s="368"/>
      <c r="W13" s="377"/>
    </row>
    <row r="14" spans="1:23" ht="15" outlineLevel="1" thickBot="1">
      <c r="B14" s="12" t="s">
        <v>1064</v>
      </c>
      <c r="C14" s="603">
        <f>HLOOKUP($C$6,$C$57:$N$97,ROW(A7),FALSE)</f>
        <v>21.142103599999995</v>
      </c>
      <c r="D14" s="580">
        <f t="shared" si="0"/>
        <v>2.4144896781754287E-3</v>
      </c>
      <c r="U14" s="368"/>
      <c r="V14" s="368"/>
      <c r="W14" s="377"/>
    </row>
    <row r="15" spans="1:23">
      <c r="B15" s="13" t="s">
        <v>25</v>
      </c>
      <c r="C15" s="579">
        <f>SUM(C16:C21)</f>
        <v>1372.5770756666666</v>
      </c>
      <c r="D15" s="27">
        <f t="shared" ref="D15:D34" si="1">C15/$C$48</f>
        <v>0.15675229127613308</v>
      </c>
      <c r="H15" s="7"/>
      <c r="V15" s="369"/>
      <c r="W15" s="377"/>
    </row>
    <row r="16" spans="1:23" outlineLevel="1">
      <c r="B16" s="12" t="s">
        <v>12</v>
      </c>
      <c r="C16" s="252">
        <f>HLOOKUP($C$6,$C$57:$N$97,ROW(A9),FALSE)</f>
        <v>1048.8575423333334</v>
      </c>
      <c r="D16" s="23">
        <f t="shared" si="1"/>
        <v>0.11978257971644231</v>
      </c>
      <c r="F16" s="369"/>
      <c r="H16" s="7"/>
      <c r="V16" s="368"/>
      <c r="W16" s="377"/>
    </row>
    <row r="17" spans="2:23" outlineLevel="1">
      <c r="B17" s="12" t="s">
        <v>1063</v>
      </c>
      <c r="C17" s="252">
        <f t="shared" ref="C17:C21" si="2">HLOOKUP($C$6,$C$57:$N$97,ROW(A10),FALSE)</f>
        <v>15.506333333333334</v>
      </c>
      <c r="D17" s="23">
        <f t="shared" si="1"/>
        <v>1.7708683340138839E-3</v>
      </c>
      <c r="F17" s="369"/>
      <c r="H17" s="7"/>
      <c r="V17" s="368"/>
      <c r="W17" s="377"/>
    </row>
    <row r="18" spans="2:23" outlineLevel="1">
      <c r="B18" s="12" t="s">
        <v>13</v>
      </c>
      <c r="C18" s="252">
        <f t="shared" si="2"/>
        <v>190.99639999999999</v>
      </c>
      <c r="D18" s="23">
        <f t="shared" si="1"/>
        <v>2.1812343988734668E-2</v>
      </c>
      <c r="H18" s="7"/>
      <c r="V18" s="369"/>
      <c r="W18" s="377"/>
    </row>
    <row r="19" spans="2:23" outlineLevel="1">
      <c r="B19" s="12" t="s">
        <v>14</v>
      </c>
      <c r="C19" s="252">
        <f t="shared" si="2"/>
        <v>46.33</v>
      </c>
      <c r="D19" s="23">
        <f t="shared" si="1"/>
        <v>5.2910206527352196E-3</v>
      </c>
      <c r="H19" s="7"/>
      <c r="V19" s="369"/>
      <c r="W19" s="377"/>
    </row>
    <row r="20" spans="2:23" outlineLevel="1">
      <c r="B20" s="12" t="s">
        <v>15</v>
      </c>
      <c r="C20" s="252">
        <f t="shared" si="2"/>
        <v>64.569999999999993</v>
      </c>
      <c r="D20" s="23">
        <f t="shared" si="1"/>
        <v>7.374081665165403E-3</v>
      </c>
      <c r="H20" s="7"/>
      <c r="V20" s="369"/>
    </row>
    <row r="21" spans="2:23" ht="15" outlineLevel="1" thickBot="1">
      <c r="B21" s="12" t="s">
        <v>16</v>
      </c>
      <c r="C21" s="603">
        <f t="shared" si="2"/>
        <v>6.3168000000000006</v>
      </c>
      <c r="D21" s="580">
        <f t="shared" si="1"/>
        <v>7.2139691904161106E-4</v>
      </c>
      <c r="H21" s="7"/>
    </row>
    <row r="22" spans="2:23">
      <c r="B22" s="18" t="s">
        <v>6</v>
      </c>
      <c r="C22" s="579">
        <f>SUM(C23:C26)</f>
        <v>3302.7623533148285</v>
      </c>
      <c r="D22" s="27">
        <f t="shared" si="1"/>
        <v>0.37718505984168216</v>
      </c>
    </row>
    <row r="23" spans="2:23" outlineLevel="1">
      <c r="B23" s="12" t="s">
        <v>1111</v>
      </c>
      <c r="C23" s="251">
        <f>HLOOKUP($C$6,$C$57:$N$97,ROW(A16),FALSE)</f>
        <v>2076.4414100730551</v>
      </c>
      <c r="D23" s="23">
        <f t="shared" si="1"/>
        <v>0.23713564396484302</v>
      </c>
    </row>
    <row r="24" spans="2:23" outlineLevel="1">
      <c r="B24" s="12" t="s">
        <v>1112</v>
      </c>
      <c r="C24" s="251">
        <f t="shared" ref="C24:C26" si="3">HLOOKUP($C$6,$C$57:$N$97,ROW(A17),FALSE)</f>
        <v>395</v>
      </c>
      <c r="D24" s="23">
        <f t="shared" si="1"/>
        <v>4.5110148021377333E-2</v>
      </c>
      <c r="F24" s="368"/>
    </row>
    <row r="25" spans="2:23" outlineLevel="1">
      <c r="B25" s="12" t="s">
        <v>1113</v>
      </c>
      <c r="C25" s="251">
        <f t="shared" si="3"/>
        <v>231.93596443864513</v>
      </c>
      <c r="D25" s="23">
        <f t="shared" si="1"/>
        <v>2.6487761233691624E-2</v>
      </c>
    </row>
    <row r="26" spans="2:23" ht="15" outlineLevel="1" thickBot="1">
      <c r="B26" s="12" t="s">
        <v>1114</v>
      </c>
      <c r="C26" s="251">
        <f t="shared" si="3"/>
        <v>599.38497880312855</v>
      </c>
      <c r="D26" s="580">
        <f t="shared" si="1"/>
        <v>6.8451506621770242E-2</v>
      </c>
    </row>
    <row r="27" spans="2:23">
      <c r="B27" s="13" t="s">
        <v>18</v>
      </c>
      <c r="C27" s="344">
        <f>SUM(C28:C32)</f>
        <v>972.54480000000001</v>
      </c>
      <c r="D27" s="27">
        <f t="shared" si="1"/>
        <v>0.1110674427479008</v>
      </c>
      <c r="H27" s="7"/>
    </row>
    <row r="28" spans="2:23" outlineLevel="1">
      <c r="B28" s="14" t="s">
        <v>22</v>
      </c>
      <c r="C28" s="251">
        <f>HLOOKUP($C$6,$C$57:$N$97,ROW(A21),FALSE)</f>
        <v>435.63565</v>
      </c>
      <c r="D28" s="23">
        <f t="shared" si="1"/>
        <v>4.9750857354149185E-2</v>
      </c>
      <c r="H28" s="7"/>
    </row>
    <row r="29" spans="2:23" outlineLevel="1">
      <c r="B29" s="15" t="s">
        <v>3</v>
      </c>
      <c r="C29" s="251">
        <f t="shared" ref="C29:C32" si="4">HLOOKUP($C$6,$C$57:$N$97,ROW(A22),FALSE)</f>
        <v>288.08575000000002</v>
      </c>
      <c r="D29" s="23">
        <f t="shared" si="1"/>
        <v>3.2900229937593686E-2</v>
      </c>
    </row>
    <row r="30" spans="2:23" outlineLevel="1">
      <c r="B30" s="15" t="s">
        <v>4</v>
      </c>
      <c r="C30" s="251">
        <f t="shared" si="4"/>
        <v>109.46900000000001</v>
      </c>
      <c r="D30" s="23">
        <f t="shared" si="1"/>
        <v>1.2501677958866217E-2</v>
      </c>
    </row>
    <row r="31" spans="2:23" outlineLevel="1">
      <c r="B31" s="15" t="s">
        <v>24</v>
      </c>
      <c r="C31" s="251">
        <f t="shared" si="4"/>
        <v>84.3947</v>
      </c>
      <c r="D31" s="23">
        <f t="shared" si="1"/>
        <v>9.6381200233410982E-3</v>
      </c>
    </row>
    <row r="32" spans="2:23" ht="15" outlineLevel="1" thickBot="1">
      <c r="B32" s="15" t="s">
        <v>29</v>
      </c>
      <c r="C32" s="251">
        <f t="shared" si="4"/>
        <v>54.959699999999998</v>
      </c>
      <c r="D32" s="580">
        <f t="shared" si="1"/>
        <v>6.2765574739506126E-3</v>
      </c>
    </row>
    <row r="33" spans="2:4" ht="15" thickBot="1">
      <c r="B33" s="20" t="s">
        <v>7</v>
      </c>
      <c r="C33" s="344">
        <f>SUM(C34:C47)</f>
        <v>115.21655747</v>
      </c>
      <c r="D33" s="27">
        <f t="shared" si="1"/>
        <v>1.3158065726544882E-2</v>
      </c>
    </row>
    <row r="34" spans="2:4" hidden="1" outlineLevel="1">
      <c r="B34" s="16" t="s">
        <v>1085</v>
      </c>
      <c r="C34" s="19">
        <f>HLOOKUP($C$6,$C$57:$N$97,ROW(A27),FALSE)</f>
        <v>8.0514109999999999</v>
      </c>
      <c r="D34" s="23">
        <f t="shared" si="1"/>
        <v>9.194945366859385E-4</v>
      </c>
    </row>
    <row r="35" spans="2:4" hidden="1" outlineLevel="1">
      <c r="B35" s="16" t="s">
        <v>1086</v>
      </c>
      <c r="C35" s="19">
        <f t="shared" ref="C35:C47" si="5">HLOOKUP($C$6,$C$57:$N$97,ROW(A28),FALSE)</f>
        <v>10.512828500000001</v>
      </c>
      <c r="D35" s="23">
        <f t="shared" ref="D35:D47" si="6">C35/$C$48</f>
        <v>1.2005955690084918E-3</v>
      </c>
    </row>
    <row r="36" spans="2:4" hidden="1" outlineLevel="1">
      <c r="B36" s="16" t="s">
        <v>0</v>
      </c>
      <c r="C36" s="19">
        <f t="shared" si="5"/>
        <v>31.002299999999998</v>
      </c>
      <c r="D36" s="23">
        <f t="shared" si="6"/>
        <v>3.5405527645649276E-3</v>
      </c>
    </row>
    <row r="37" spans="2:4" hidden="1" outlineLevel="1">
      <c r="B37" s="16" t="s">
        <v>1094</v>
      </c>
      <c r="C37" s="19">
        <f t="shared" si="5"/>
        <v>0</v>
      </c>
      <c r="D37" s="23">
        <f t="shared" si="6"/>
        <v>0</v>
      </c>
    </row>
    <row r="38" spans="2:4" hidden="1" outlineLevel="1">
      <c r="B38" s="16" t="s">
        <v>1089</v>
      </c>
      <c r="C38" s="19">
        <f t="shared" si="5"/>
        <v>2.1858700000000004</v>
      </c>
      <c r="D38" s="23">
        <f t="shared" si="6"/>
        <v>2.4963270697591922E-4</v>
      </c>
    </row>
    <row r="39" spans="2:4" hidden="1" outlineLevel="1">
      <c r="B39" s="16" t="s">
        <v>1090</v>
      </c>
      <c r="C39" s="19">
        <f t="shared" si="5"/>
        <v>1.5325799999999998</v>
      </c>
      <c r="D39" s="23">
        <f t="shared" si="6"/>
        <v>1.7502509026481639E-4</v>
      </c>
    </row>
    <row r="40" spans="2:4" hidden="1" outlineLevel="1">
      <c r="B40" s="16" t="s">
        <v>19</v>
      </c>
      <c r="C40" s="19">
        <f t="shared" si="5"/>
        <v>27.77562</v>
      </c>
      <c r="D40" s="23">
        <f t="shared" si="6"/>
        <v>3.1720565305962752E-3</v>
      </c>
    </row>
    <row r="41" spans="2:4" hidden="1" outlineLevel="1">
      <c r="B41" s="16" t="s">
        <v>1087</v>
      </c>
      <c r="C41" s="19">
        <f t="shared" si="5"/>
        <v>3.9014879700000002</v>
      </c>
      <c r="D41" s="23">
        <f t="shared" si="6"/>
        <v>4.4556126539322272E-4</v>
      </c>
    </row>
    <row r="42" spans="2:4" hidden="1" outlineLevel="1">
      <c r="B42" s="16" t="s">
        <v>1098</v>
      </c>
      <c r="C42" s="19">
        <f t="shared" si="5"/>
        <v>1.5372000000000001</v>
      </c>
      <c r="D42" s="23">
        <f t="shared" si="6"/>
        <v>1.7555270769230695E-4</v>
      </c>
    </row>
    <row r="43" spans="2:4" hidden="1" outlineLevel="1">
      <c r="B43" s="16" t="s">
        <v>1100</v>
      </c>
      <c r="C43" s="19">
        <f t="shared" si="5"/>
        <v>6.9224399999999999</v>
      </c>
      <c r="D43" s="23">
        <f t="shared" si="6"/>
        <v>7.9056276726355268E-4</v>
      </c>
    </row>
    <row r="44" spans="2:4" hidden="1" outlineLevel="1">
      <c r="B44" s="16" t="s">
        <v>1099</v>
      </c>
      <c r="C44" s="19">
        <f t="shared" si="5"/>
        <v>0.32525999999999999</v>
      </c>
      <c r="D44" s="23">
        <f t="shared" si="6"/>
        <v>3.7145637330210611E-5</v>
      </c>
    </row>
    <row r="45" spans="2:4" hidden="1" outlineLevel="1">
      <c r="B45" s="16" t="s">
        <v>1101</v>
      </c>
      <c r="C45" s="19">
        <f t="shared" si="5"/>
        <v>0.43326000000000003</v>
      </c>
      <c r="D45" s="23">
        <f t="shared" si="6"/>
        <v>4.9479551219599864E-5</v>
      </c>
    </row>
    <row r="46" spans="2:4" hidden="1" outlineLevel="1">
      <c r="B46" s="16" t="s">
        <v>1</v>
      </c>
      <c r="C46" s="19">
        <f t="shared" si="5"/>
        <v>1.0363</v>
      </c>
      <c r="D46" s="23">
        <f t="shared" si="6"/>
        <v>1.1834847188494514E-4</v>
      </c>
    </row>
    <row r="47" spans="2:4" ht="15" hidden="1" outlineLevel="1" thickBot="1">
      <c r="B47" s="16" t="s">
        <v>1109</v>
      </c>
      <c r="C47" s="19">
        <f t="shared" si="5"/>
        <v>20</v>
      </c>
      <c r="D47" s="23">
        <f t="shared" si="6"/>
        <v>2.2840581276646751E-3</v>
      </c>
    </row>
    <row r="48" spans="2:4" ht="15" collapsed="1" thickTop="1">
      <c r="B48" s="22" t="s">
        <v>155</v>
      </c>
      <c r="C48" s="28">
        <f>C9+C15+C22+C27+C33</f>
        <v>8756.3445771184943</v>
      </c>
      <c r="D48" s="581"/>
    </row>
    <row r="49" spans="1:19">
      <c r="B49" s="21"/>
      <c r="C49" s="29"/>
      <c r="D49" s="17"/>
    </row>
    <row r="50" spans="1:19">
      <c r="B50" s="5"/>
      <c r="C50" s="4"/>
      <c r="D50" s="3"/>
    </row>
    <row r="51" spans="1:19" s="26" customFormat="1" ht="13.95" customHeight="1">
      <c r="A51" s="24"/>
      <c r="B51" s="25" t="s">
        <v>154</v>
      </c>
      <c r="C51" s="24"/>
      <c r="D51" s="24"/>
      <c r="E51" s="24"/>
      <c r="F51" s="24"/>
      <c r="G51" s="24"/>
      <c r="H51" s="24"/>
      <c r="P51" s="342"/>
    </row>
    <row r="52" spans="1:19" ht="15.6">
      <c r="B52" s="5"/>
      <c r="C52" s="4"/>
      <c r="D52" s="3"/>
      <c r="P52" s="531"/>
      <c r="Q52" s="159"/>
      <c r="R52" s="159"/>
      <c r="S52" s="159"/>
    </row>
    <row r="53" spans="1:19" ht="15.6">
      <c r="B53" s="5"/>
      <c r="C53" s="42">
        <f>2009</f>
        <v>2009</v>
      </c>
      <c r="D53" s="42">
        <f t="shared" ref="D53:M53" si="7">C53+1</f>
        <v>2010</v>
      </c>
      <c r="E53" s="42">
        <f t="shared" si="7"/>
        <v>2011</v>
      </c>
      <c r="F53" s="42">
        <f t="shared" si="7"/>
        <v>2012</v>
      </c>
      <c r="G53" s="42">
        <f t="shared" si="7"/>
        <v>2013</v>
      </c>
      <c r="H53" s="42">
        <f t="shared" si="7"/>
        <v>2014</v>
      </c>
      <c r="I53" s="42">
        <f t="shared" si="7"/>
        <v>2015</v>
      </c>
      <c r="J53" s="42">
        <f t="shared" si="7"/>
        <v>2016</v>
      </c>
      <c r="K53" s="42">
        <f t="shared" si="7"/>
        <v>2017</v>
      </c>
      <c r="L53" s="42">
        <f t="shared" si="7"/>
        <v>2018</v>
      </c>
      <c r="M53" s="42">
        <f t="shared" si="7"/>
        <v>2019</v>
      </c>
      <c r="N53" s="42">
        <v>2020</v>
      </c>
      <c r="P53" s="531"/>
      <c r="Q53" s="159"/>
      <c r="R53" s="159"/>
      <c r="S53" s="159"/>
    </row>
    <row r="54" spans="1:19">
      <c r="B54" s="322" t="s">
        <v>905</v>
      </c>
      <c r="C54" s="323">
        <f>'Effectif INSA'!G3</f>
        <v>5482</v>
      </c>
      <c r="D54" s="323">
        <f>'Effectif INSA'!H3</f>
        <v>5547</v>
      </c>
      <c r="E54" s="323">
        <f>'Effectif INSA'!I3</f>
        <v>5595</v>
      </c>
      <c r="F54" s="323">
        <f>'Effectif INSA'!J3</f>
        <v>5701</v>
      </c>
      <c r="G54" s="323">
        <f>'Effectif INSA'!K3</f>
        <v>5679</v>
      </c>
      <c r="H54" s="323">
        <f>'Effectif INSA'!L3</f>
        <v>5760</v>
      </c>
      <c r="I54" s="323">
        <f>'Effectif INSA'!M3</f>
        <v>5794</v>
      </c>
      <c r="J54" s="345">
        <f>'Effectif INSA'!N3</f>
        <v>5937</v>
      </c>
      <c r="K54" s="345">
        <f>'Effectif INSA'!O3</f>
        <v>6036</v>
      </c>
      <c r="L54" s="345">
        <f>'Effectif INSA'!P3</f>
        <v>6122</v>
      </c>
      <c r="M54" s="323">
        <f>'Effectif INSA'!Q3</f>
        <v>6133</v>
      </c>
      <c r="N54" s="600">
        <f>'Effectif INSA'!R3</f>
        <v>6133</v>
      </c>
      <c r="P54" s="532"/>
      <c r="Q54" s="159"/>
      <c r="R54" s="159"/>
      <c r="S54" s="159"/>
    </row>
    <row r="55" spans="1:19">
      <c r="B55" s="322" t="s">
        <v>906</v>
      </c>
      <c r="C55" s="323">
        <f>'Effectif INSA'!G6</f>
        <v>1290</v>
      </c>
      <c r="D55" s="323">
        <f>'Effectif INSA'!H6</f>
        <v>1310</v>
      </c>
      <c r="E55" s="323">
        <f>'Effectif INSA'!I6</f>
        <v>1286</v>
      </c>
      <c r="F55" s="323">
        <f>'Effectif INSA'!J6</f>
        <v>1422</v>
      </c>
      <c r="G55" s="323">
        <f>'Effectif INSA'!K6</f>
        <v>1400</v>
      </c>
      <c r="H55" s="323">
        <f>'Effectif INSA'!L6</f>
        <v>1415</v>
      </c>
      <c r="I55" s="323">
        <f>'Effectif INSA'!M6</f>
        <v>1386</v>
      </c>
      <c r="J55" s="323">
        <f>'Effectif INSA'!N6</f>
        <v>1395</v>
      </c>
      <c r="K55" s="323">
        <f>'Effectif INSA'!O6</f>
        <v>1409</v>
      </c>
      <c r="L55" s="323">
        <f>'Effectif INSA'!P6</f>
        <v>1419</v>
      </c>
      <c r="M55" s="324">
        <f>L55</f>
        <v>1419</v>
      </c>
      <c r="N55" s="600">
        <v>1419</v>
      </c>
      <c r="P55" s="532"/>
      <c r="Q55" s="159"/>
      <c r="R55" s="159"/>
      <c r="S55" s="159"/>
    </row>
    <row r="56" spans="1:19">
      <c r="B56" s="5"/>
      <c r="C56" s="4"/>
      <c r="D56" s="3"/>
      <c r="P56" s="533"/>
      <c r="Q56" s="159"/>
      <c r="R56" s="159"/>
      <c r="S56" s="159"/>
    </row>
    <row r="57" spans="1:19" s="40" customFormat="1" ht="19.2" customHeight="1" thickBot="1">
      <c r="B57" s="41" t="s">
        <v>8</v>
      </c>
      <c r="C57" s="496">
        <f>2009</f>
        <v>2009</v>
      </c>
      <c r="D57" s="496">
        <f>C57+1</f>
        <v>2010</v>
      </c>
      <c r="E57" s="496">
        <f t="shared" ref="E57:M57" si="8">D57+1</f>
        <v>2011</v>
      </c>
      <c r="F57" s="496">
        <f t="shared" si="8"/>
        <v>2012</v>
      </c>
      <c r="G57" s="496">
        <f t="shared" si="8"/>
        <v>2013</v>
      </c>
      <c r="H57" s="496">
        <f t="shared" si="8"/>
        <v>2014</v>
      </c>
      <c r="I57" s="496">
        <f t="shared" si="8"/>
        <v>2015</v>
      </c>
      <c r="J57" s="496">
        <f t="shared" si="8"/>
        <v>2016</v>
      </c>
      <c r="K57" s="496">
        <f t="shared" si="8"/>
        <v>2017</v>
      </c>
      <c r="L57" s="496">
        <f t="shared" si="8"/>
        <v>2018</v>
      </c>
      <c r="M57" s="496">
        <f t="shared" si="8"/>
        <v>2019</v>
      </c>
      <c r="N57" s="496">
        <v>2020</v>
      </c>
      <c r="P57" s="531"/>
      <c r="Q57" s="534"/>
      <c r="R57" s="535"/>
      <c r="S57" s="531"/>
    </row>
    <row r="58" spans="1:19" s="43" customFormat="1" ht="15" thickTop="1">
      <c r="B58" s="61" t="s">
        <v>5</v>
      </c>
      <c r="C58" s="62">
        <f>SUM(C59:C63)</f>
        <v>6411.852473500001</v>
      </c>
      <c r="D58" s="62">
        <f t="shared" ref="D58:N58" si="9">SUM(D59:D63)</f>
        <v>7131.7363694999995</v>
      </c>
      <c r="E58" s="62">
        <f t="shared" si="9"/>
        <v>5739.3269329999994</v>
      </c>
      <c r="F58" s="62">
        <f t="shared" si="9"/>
        <v>6137.3265564999992</v>
      </c>
      <c r="G58" s="62">
        <f t="shared" si="9"/>
        <v>6778.9778315999993</v>
      </c>
      <c r="H58" s="62">
        <f t="shared" si="9"/>
        <v>5102.5928294000005</v>
      </c>
      <c r="I58" s="62">
        <f t="shared" si="9"/>
        <v>5464.6653710000001</v>
      </c>
      <c r="J58" s="62">
        <f t="shared" si="9"/>
        <v>5452.9247589000015</v>
      </c>
      <c r="K58" s="62">
        <f t="shared" si="9"/>
        <v>3079.5966527660003</v>
      </c>
      <c r="L58" s="62">
        <f t="shared" si="9"/>
        <v>2857.1826021705001</v>
      </c>
      <c r="M58" s="62">
        <f t="shared" si="9"/>
        <v>2993.2437906670002</v>
      </c>
      <c r="N58" s="62">
        <f t="shared" si="9"/>
        <v>2480.2603791000006</v>
      </c>
      <c r="P58" s="532"/>
      <c r="Q58" s="536"/>
      <c r="R58" s="536"/>
      <c r="S58" s="532"/>
    </row>
    <row r="59" spans="1:19" outlineLevel="1">
      <c r="B59" s="50" t="s">
        <v>9</v>
      </c>
      <c r="C59" s="51">
        <f>'Données Energie'!G408/1000</f>
        <v>4368.4560000000001</v>
      </c>
      <c r="D59" s="51">
        <f>'Données Energie'!H408/1000</f>
        <v>5000.9160000000002</v>
      </c>
      <c r="E59" s="51">
        <f>'Données Energie'!I408/1000</f>
        <v>3778.8240000000001</v>
      </c>
      <c r="F59" s="51">
        <f>'Données Energie'!J408/1000</f>
        <v>4255.41</v>
      </c>
      <c r="G59" s="51">
        <f>'Données Energie'!K408/1000</f>
        <v>4822.3829999999998</v>
      </c>
      <c r="H59" s="51">
        <f>'Données Energie'!L408/1000</f>
        <v>3377.3114999999998</v>
      </c>
      <c r="I59" s="51">
        <f>'Données Energie'!M408/1000</f>
        <v>3781.4385000000002</v>
      </c>
      <c r="J59" s="51">
        <f>'Données Energie'!N408/1000</f>
        <v>3904.6387200000008</v>
      </c>
      <c r="K59" s="51">
        <f>'Données Energie'!O408/1000</f>
        <v>1460.5020766</v>
      </c>
      <c r="L59" s="51">
        <f>'Données Energie'!P408/1000</f>
        <v>1330.6548</v>
      </c>
      <c r="M59" s="51">
        <f>'Données Energie'!Q408/1000</f>
        <v>1363.096</v>
      </c>
      <c r="N59" s="51">
        <f>'Données Energie'!R408/1000</f>
        <v>1287.2813600000002</v>
      </c>
      <c r="P59" s="537"/>
      <c r="Q59" s="537"/>
      <c r="R59" s="159"/>
      <c r="S59" s="537"/>
    </row>
    <row r="60" spans="1:19" outlineLevel="1">
      <c r="B60" s="50" t="s">
        <v>23</v>
      </c>
      <c r="C60" s="51">
        <f>'Données Energie'!G268/1000</f>
        <v>966.64162499999998</v>
      </c>
      <c r="D60" s="51">
        <f>'Données Energie'!H268/1000</f>
        <v>1025.8482899999999</v>
      </c>
      <c r="E60" s="51">
        <f>'Données Energie'!I268/1000</f>
        <v>889.19365000000005</v>
      </c>
      <c r="F60" s="51">
        <f>'Données Energie'!J268/1000</f>
        <v>960.61113999999975</v>
      </c>
      <c r="G60" s="51">
        <f>'Données Energie'!K268/1000</f>
        <v>1041.2159099999999</v>
      </c>
      <c r="H60" s="51">
        <f>'Données Energie'!L268/1000</f>
        <v>842.5951</v>
      </c>
      <c r="I60" s="51">
        <f>'Données Energie'!M268/1000</f>
        <v>906.54238999999984</v>
      </c>
      <c r="J60" s="51">
        <f>'Données Energie'!N268/1000</f>
        <v>843.13158499999997</v>
      </c>
      <c r="K60" s="51">
        <f>'Données Energie'!O268/1000</f>
        <v>862.31507500000009</v>
      </c>
      <c r="L60" s="51">
        <f>'Données Energie'!P268/1000</f>
        <v>786.01796999999999</v>
      </c>
      <c r="M60" s="51">
        <f>'Données Energie'!Q268/1000</f>
        <v>817.68042500000001</v>
      </c>
      <c r="N60" s="51">
        <f>'Données Energie'!R268/1000</f>
        <v>508.52791999999999</v>
      </c>
      <c r="P60" s="537"/>
      <c r="Q60" s="159"/>
      <c r="R60" s="159"/>
      <c r="S60" s="537"/>
    </row>
    <row r="61" spans="1:19" outlineLevel="1">
      <c r="B61" s="50" t="s">
        <v>10</v>
      </c>
      <c r="C61" s="51">
        <f>'Données Energie'!G140/1000</f>
        <v>1049.3996965000001</v>
      </c>
      <c r="D61" s="51">
        <f>'Données Energie'!H140/1000</f>
        <v>1078.9387755</v>
      </c>
      <c r="E61" s="51">
        <f>'Données Energie'!I140/1000</f>
        <v>1046.0318110000001</v>
      </c>
      <c r="F61" s="51">
        <f>'Données Energie'!J140/1000</f>
        <v>897.88967249999985</v>
      </c>
      <c r="G61" s="51">
        <f>'Données Energie'!K140/1000</f>
        <v>892.42794960000003</v>
      </c>
      <c r="H61" s="51">
        <f>'Données Energie'!L140/1000</f>
        <v>860.41789539999979</v>
      </c>
      <c r="I61" s="51">
        <f>'Données Energie'!M140/1000</f>
        <v>733.50335100000018</v>
      </c>
      <c r="J61" s="51">
        <f>'Données Energie'!N140/1000</f>
        <v>664.04414189999989</v>
      </c>
      <c r="K61" s="51">
        <f>'Données Energie'!O140/1000</f>
        <v>714.53963316599993</v>
      </c>
      <c r="L61" s="51">
        <f>'Données Energie'!P140/1000</f>
        <v>696.73245017049999</v>
      </c>
      <c r="M61" s="51">
        <f>'Données Energie'!Q140/1000</f>
        <v>772.17549406700005</v>
      </c>
      <c r="N61" s="51">
        <f>'Données Energie'!R140/1000</f>
        <v>653.4400551</v>
      </c>
      <c r="P61" s="537"/>
      <c r="Q61" s="159"/>
      <c r="R61" s="159"/>
      <c r="S61" s="537"/>
    </row>
    <row r="62" spans="1:19" outlineLevel="1">
      <c r="B62" s="50" t="s">
        <v>20</v>
      </c>
      <c r="C62" s="51">
        <f>'Données Energie'!G235/1000</f>
        <v>27.355151999999997</v>
      </c>
      <c r="D62" s="51">
        <f>'Données Energie'!H235/1000</f>
        <v>26.033303999999998</v>
      </c>
      <c r="E62" s="51">
        <f>'Données Energie'!I235/1000</f>
        <v>25.277472000000003</v>
      </c>
      <c r="F62" s="51">
        <f>'Données Energie'!J235/1000</f>
        <v>23.415744000000004</v>
      </c>
      <c r="G62" s="51">
        <f>'Données Energie'!K235/1000</f>
        <v>22.950972</v>
      </c>
      <c r="H62" s="51">
        <f>'Données Energie'!L235/1000</f>
        <v>22.268334000000003</v>
      </c>
      <c r="I62" s="51">
        <f>'Données Energie'!M235/1000</f>
        <v>21.629849999999998</v>
      </c>
      <c r="J62" s="51">
        <f>'Données Energie'!N235/1000</f>
        <v>20.491482000000001</v>
      </c>
      <c r="K62" s="51">
        <f>'Données Energie'!O235/1000</f>
        <v>20.594507999999998</v>
      </c>
      <c r="L62" s="51">
        <f>'Données Energie'!P235/1000</f>
        <v>21.670572</v>
      </c>
      <c r="M62" s="51">
        <f>'Données Energie'!Q235/1000</f>
        <v>19.149768000000002</v>
      </c>
      <c r="N62" s="51">
        <f>'Données Energie'!R235/1000</f>
        <v>15.188184</v>
      </c>
      <c r="P62" s="537"/>
      <c r="Q62" s="159"/>
      <c r="R62" s="159"/>
      <c r="S62" s="537"/>
    </row>
    <row r="63" spans="1:19" ht="15" outlineLevel="1" thickBot="1">
      <c r="B63" s="50" t="s">
        <v>1064</v>
      </c>
      <c r="C63" s="51">
        <f>'Données Energie'!G416/1000</f>
        <v>0</v>
      </c>
      <c r="D63" s="51">
        <f>'Données Energie'!H416/1000</f>
        <v>0</v>
      </c>
      <c r="E63" s="51">
        <f>'Données Energie'!I416/1000</f>
        <v>0</v>
      </c>
      <c r="F63" s="51">
        <f>'Données Energie'!J416/1000</f>
        <v>0</v>
      </c>
      <c r="G63" s="51">
        <f>'Données Energie'!K416/1000</f>
        <v>0</v>
      </c>
      <c r="H63" s="51">
        <f>'Données Energie'!L416/1000</f>
        <v>0</v>
      </c>
      <c r="I63" s="51">
        <f>'Données Energie'!M416/1000</f>
        <v>21.551279999999998</v>
      </c>
      <c r="J63" s="51">
        <f>'Données Energie'!N416/1000</f>
        <v>20.618830000000003</v>
      </c>
      <c r="K63" s="51">
        <f>'Données Energie'!O416/1000</f>
        <v>21.64536</v>
      </c>
      <c r="L63" s="51">
        <f>'Données Energie'!P416/1000</f>
        <v>22.106809999999999</v>
      </c>
      <c r="M63" s="51">
        <f>'Données Energie'!Q416/1000</f>
        <v>21.142103599999995</v>
      </c>
      <c r="N63" s="51">
        <f>'Données Energie'!R416/1000</f>
        <v>15.82286</v>
      </c>
      <c r="P63" s="537"/>
      <c r="Q63" s="159"/>
      <c r="R63" s="159"/>
      <c r="S63" s="537"/>
    </row>
    <row r="64" spans="1:19" s="43" customFormat="1">
      <c r="B64" s="63" t="s">
        <v>11</v>
      </c>
      <c r="C64" s="64">
        <f>SUM(C65:C70)</f>
        <v>1353.3686695085257</v>
      </c>
      <c r="D64" s="64">
        <f t="shared" ref="D64:K64" si="10">SUM(D65:D70)</f>
        <v>1357.9453715551369</v>
      </c>
      <c r="E64" s="64">
        <f t="shared" si="10"/>
        <v>1354.5127029401733</v>
      </c>
      <c r="F64" s="64">
        <f t="shared" si="10"/>
        <v>1380.5399910589892</v>
      </c>
      <c r="G64" s="64">
        <f t="shared" si="10"/>
        <v>1376.3888692452406</v>
      </c>
      <c r="H64" s="64">
        <f t="shared" si="10"/>
        <v>1379.064135711717</v>
      </c>
      <c r="I64" s="478">
        <f t="shared" si="10"/>
        <v>1373.5247059989272</v>
      </c>
      <c r="J64" s="478">
        <f t="shared" si="10"/>
        <v>1385.2010395078144</v>
      </c>
      <c r="K64" s="478">
        <f t="shared" si="10"/>
        <v>1393.2927847803251</v>
      </c>
      <c r="L64" s="478">
        <f>SUM(L65:L70)</f>
        <v>1370.478205199069</v>
      </c>
      <c r="M64" s="478">
        <f>SUM(M65:M70)</f>
        <v>1372.5770756666666</v>
      </c>
      <c r="N64" s="478">
        <f>SUM(N65:N70)</f>
        <v>1373.7424645555554</v>
      </c>
      <c r="P64" s="532"/>
      <c r="Q64" s="536"/>
      <c r="R64" s="536"/>
      <c r="S64" s="532"/>
    </row>
    <row r="65" spans="2:19" s="38" customFormat="1" outlineLevel="1">
      <c r="B65" s="52" t="s">
        <v>320</v>
      </c>
      <c r="C65" s="53">
        <f>'Données Batiments'!BT64*0.001</f>
        <v>1067.9770823333333</v>
      </c>
      <c r="D65" s="53">
        <f>'Données Batiments'!BT65*0.001</f>
        <v>1067.9770823333333</v>
      </c>
      <c r="E65" s="53">
        <f>'Données Batiments'!BT66*0.001</f>
        <v>1067.9781823333335</v>
      </c>
      <c r="F65" s="53">
        <f>'Données Batiments'!BT67*0.001</f>
        <v>1067.9781823333335</v>
      </c>
      <c r="G65" s="53">
        <f>'Données Batiments'!BT68*0.001</f>
        <v>1067.9781823333335</v>
      </c>
      <c r="H65" s="53">
        <f>'Données Batiments'!BT69*0.001</f>
        <v>1067.2565823333334</v>
      </c>
      <c r="I65" s="479">
        <f>'Données Batiments'!BT70*0.001</f>
        <v>1066.6482823333336</v>
      </c>
      <c r="J65" s="479">
        <f>'Données Batiments'!BT71*0.001</f>
        <v>1071.8314823333333</v>
      </c>
      <c r="K65" s="479">
        <f>'Données Batiments'!BT72*0.001</f>
        <v>1075.5252823333335</v>
      </c>
      <c r="L65" s="479">
        <f>'Données Batiments'!BT73*0.001</f>
        <v>1048.8575423333334</v>
      </c>
      <c r="M65" s="479">
        <f>'Données Batiments'!BT74*0.001</f>
        <v>1048.8575423333334</v>
      </c>
      <c r="N65" s="479">
        <f>'Données Batiments'!BT75*0.001</f>
        <v>1048.8575423333334</v>
      </c>
      <c r="P65" s="537"/>
      <c r="Q65" s="380"/>
      <c r="R65" s="380"/>
      <c r="S65" s="537"/>
    </row>
    <row r="66" spans="2:19" s="38" customFormat="1" outlineLevel="1">
      <c r="B66" s="52" t="s">
        <v>1063</v>
      </c>
      <c r="C66" s="53">
        <v>6</v>
      </c>
      <c r="D66" s="53">
        <f>'Données Flotte Véhicule'!N11/1000</f>
        <v>6.416666666666667</v>
      </c>
      <c r="E66" s="53">
        <f>'Données Flotte Véhicule'!O11/1000</f>
        <v>6.8933333333333326</v>
      </c>
      <c r="F66" s="53">
        <f>'Données Flotte Véhicule'!P11/1000</f>
        <v>7.5166666666666666</v>
      </c>
      <c r="G66" s="53">
        <f>'Données Flotte Véhicule'!Q11/1000</f>
        <v>7.5166666666666666</v>
      </c>
      <c r="H66" s="53">
        <f>'Données Flotte Véhicule'!R11/1000</f>
        <v>7.5166666666666666</v>
      </c>
      <c r="I66" s="479">
        <f>'Données Flotte Véhicule'!S11/1000</f>
        <v>7.5166666666666666</v>
      </c>
      <c r="J66" s="479">
        <f>'Données Flotte Véhicule'!T11/1000</f>
        <v>11.161333333333333</v>
      </c>
      <c r="K66" s="479">
        <f>'Données Flotte Véhicule'!U11/1000</f>
        <v>12.188000000000001</v>
      </c>
      <c r="L66" s="479">
        <f>'Données Flotte Véhicule'!V11/1000</f>
        <v>13.501888888888889</v>
      </c>
      <c r="M66" s="479">
        <f>'Données Flotte Véhicule'!W11/1000</f>
        <v>15.506333333333334</v>
      </c>
      <c r="N66" s="479">
        <f>'Données Flotte Véhicule'!X11/1000</f>
        <v>16.671722222222222</v>
      </c>
      <c r="P66" s="537"/>
      <c r="Q66" s="380"/>
      <c r="R66" s="380"/>
      <c r="S66" s="537"/>
    </row>
    <row r="67" spans="2:19" s="38" customFormat="1" outlineLevel="1">
      <c r="B67" s="52" t="s">
        <v>318</v>
      </c>
      <c r="C67" s="78">
        <f t="shared" ref="C67:K67" si="11">($M67*C$55/$M$55)</f>
        <v>173.6330909090909</v>
      </c>
      <c r="D67" s="78">
        <f t="shared" si="11"/>
        <v>176.32507681465819</v>
      </c>
      <c r="E67" s="78">
        <f t="shared" si="11"/>
        <v>173.09469372797744</v>
      </c>
      <c r="F67" s="78">
        <f t="shared" si="11"/>
        <v>191.4001978858351</v>
      </c>
      <c r="G67" s="78">
        <f t="shared" si="11"/>
        <v>188.43901338971105</v>
      </c>
      <c r="H67" s="78">
        <f t="shared" si="11"/>
        <v>190.45800281888654</v>
      </c>
      <c r="I67" s="480">
        <f t="shared" si="11"/>
        <v>186.55462325581394</v>
      </c>
      <c r="J67" s="480">
        <f t="shared" si="11"/>
        <v>187.76601691331925</v>
      </c>
      <c r="K67" s="480">
        <f t="shared" si="11"/>
        <v>189.65040704721633</v>
      </c>
      <c r="L67" s="480">
        <f>($M67*L$55/$M$55)</f>
        <v>190.99639999999999</v>
      </c>
      <c r="M67" s="479">
        <f>'Données Immobilisation'!E43+'Données Immobilisation'!E27</f>
        <v>190.99639999999999</v>
      </c>
      <c r="N67" s="479">
        <f>'Données Immobilisation'!E43+'Données Immobilisation'!E27</f>
        <v>190.99639999999999</v>
      </c>
      <c r="P67" s="537"/>
      <c r="Q67" s="380"/>
      <c r="R67" s="380"/>
      <c r="S67" s="537"/>
    </row>
    <row r="68" spans="2:19" s="38" customFormat="1" outlineLevel="1">
      <c r="B68" s="52" t="s">
        <v>319</v>
      </c>
      <c r="C68" s="78">
        <f t="shared" ref="C68:K68" si="12">($M68*C$54/$M$54)</f>
        <v>41.412206098157505</v>
      </c>
      <c r="D68" s="78">
        <f t="shared" si="12"/>
        <v>41.903230066851457</v>
      </c>
      <c r="E68" s="78">
        <f t="shared" si="12"/>
        <v>42.265832382194681</v>
      </c>
      <c r="F68" s="78">
        <f t="shared" si="12"/>
        <v>43.066579161910973</v>
      </c>
      <c r="G68" s="78">
        <f t="shared" si="12"/>
        <v>42.90038643404533</v>
      </c>
      <c r="H68" s="78">
        <f t="shared" si="12"/>
        <v>43.512277841187021</v>
      </c>
      <c r="I68" s="480">
        <f t="shared" si="12"/>
        <v>43.769121147888477</v>
      </c>
      <c r="J68" s="480">
        <f>($M68*J$54/$M$54)</f>
        <v>44.849373879015161</v>
      </c>
      <c r="K68" s="480">
        <f t="shared" si="12"/>
        <v>45.597241154410568</v>
      </c>
      <c r="L68" s="480">
        <f>($M68*L$54/$M$54)</f>
        <v>46.246903636067181</v>
      </c>
      <c r="M68" s="479">
        <f>'Données Immobilisation'!Q37+'Données Immobilisation'!P37</f>
        <v>46.33</v>
      </c>
      <c r="N68" s="481">
        <f>'Données Immobilisation'!Q37+'Données Immobilisation'!P37</f>
        <v>46.33</v>
      </c>
      <c r="P68" s="537"/>
      <c r="Q68" s="380"/>
      <c r="R68" s="380"/>
      <c r="S68" s="537"/>
    </row>
    <row r="69" spans="2:19" s="38" customFormat="1" outlineLevel="1">
      <c r="B69" s="52" t="s">
        <v>47</v>
      </c>
      <c r="C69" s="78">
        <f t="shared" ref="C69:K69" si="13">($M69*C$55/$M$55)</f>
        <v>58.699999999999989</v>
      </c>
      <c r="D69" s="78">
        <f t="shared" si="13"/>
        <v>59.610077519379843</v>
      </c>
      <c r="E69" s="78">
        <f t="shared" si="13"/>
        <v>58.517984496124022</v>
      </c>
      <c r="F69" s="78">
        <f t="shared" si="13"/>
        <v>64.706511627906977</v>
      </c>
      <c r="G69" s="78">
        <f t="shared" si="13"/>
        <v>63.705426356589136</v>
      </c>
      <c r="H69" s="78">
        <f t="shared" si="13"/>
        <v>64.38798449612402</v>
      </c>
      <c r="I69" s="480">
        <f t="shared" si="13"/>
        <v>63.06837209302325</v>
      </c>
      <c r="J69" s="480">
        <f t="shared" si="13"/>
        <v>63.47790697674418</v>
      </c>
      <c r="K69" s="480">
        <f t="shared" si="13"/>
        <v>64.114961240310066</v>
      </c>
      <c r="L69" s="480">
        <f>($M69*L$55/$M$55)</f>
        <v>64.569999999999993</v>
      </c>
      <c r="M69" s="479">
        <f>'Données Immobilisation'!L24</f>
        <v>64.569999999999993</v>
      </c>
      <c r="N69" s="481">
        <f>'Données Immobilisation'!L24</f>
        <v>64.569999999999993</v>
      </c>
      <c r="P69" s="537"/>
      <c r="Q69" s="380"/>
      <c r="R69" s="380"/>
      <c r="S69" s="537"/>
    </row>
    <row r="70" spans="2:19" s="38" customFormat="1" ht="15" outlineLevel="1" thickBot="1">
      <c r="B70" s="54" t="s">
        <v>807</v>
      </c>
      <c r="C70" s="79">
        <f>($M$70*'Effectif INSA'!G3/'Effectif INSA'!$Q$3)</f>
        <v>5.6462901679439108</v>
      </c>
      <c r="D70" s="79">
        <f>($M$70*'Effectif INSA'!H3/'Effectif INSA'!$Q$3)</f>
        <v>5.7132381542475139</v>
      </c>
      <c r="E70" s="79">
        <f>($M$70*'Effectif INSA'!I3/'Effectif INSA'!$Q$3)</f>
        <v>5.7626766672101759</v>
      </c>
      <c r="F70" s="79">
        <f>($M$70*'Effectif INSA'!J3/'Effectif INSA'!$Q$3)</f>
        <v>5.8718533833360516</v>
      </c>
      <c r="G70" s="79">
        <f>($M$70*'Effectif INSA'!K3/'Effectif INSA'!$Q$3)</f>
        <v>5.8491940648948324</v>
      </c>
      <c r="H70" s="79">
        <f>($M$70*'Effectif INSA'!L3/'Effectif INSA'!$Q$3)</f>
        <v>5.9326215555193222</v>
      </c>
      <c r="I70" s="482">
        <f>($M$70*'Effectif INSA'!M3/'Effectif INSA'!$Q$3)</f>
        <v>5.967640502201208</v>
      </c>
      <c r="J70" s="482">
        <f>($M$70*'Effectif INSA'!N3/'Effectif INSA'!$Q$3)</f>
        <v>6.1149260720691352</v>
      </c>
      <c r="K70" s="482">
        <f>($M$70*'Effectif INSA'!O3/'Effectif INSA'!$Q$3)</f>
        <v>6.2168930050546241</v>
      </c>
      <c r="L70" s="482">
        <f>($M$70*'Effectif INSA'!P3/'Effectif INSA'!$Q$3)</f>
        <v>6.3054703407793911</v>
      </c>
      <c r="M70" s="483">
        <f>'Données Immobilisation'!I50</f>
        <v>6.3168000000000006</v>
      </c>
      <c r="N70" s="484">
        <f>'Données Immobilisation'!I50</f>
        <v>6.3168000000000006</v>
      </c>
      <c r="P70" s="537"/>
      <c r="Q70" s="380"/>
      <c r="R70" s="380"/>
      <c r="S70" s="537"/>
    </row>
    <row r="71" spans="2:19" s="43" customFormat="1">
      <c r="B71" s="65" t="s">
        <v>6</v>
      </c>
      <c r="C71" s="314">
        <f t="shared" ref="C71:L71" si="14">SUM(C72:C75)</f>
        <v>2967.3362167084242</v>
      </c>
      <c r="D71" s="314">
        <f t="shared" si="14"/>
        <v>3005.8166204529148</v>
      </c>
      <c r="E71" s="314">
        <f t="shared" si="14"/>
        <v>3007.0648137988342</v>
      </c>
      <c r="F71" s="314">
        <f t="shared" si="14"/>
        <v>3142.2657516898821</v>
      </c>
      <c r="G71" s="314">
        <f t="shared" si="14"/>
        <v>3118.5684310078132</v>
      </c>
      <c r="H71" s="314">
        <f t="shared" si="14"/>
        <v>3159.5671930250514</v>
      </c>
      <c r="I71" s="485">
        <f t="shared" si="14"/>
        <v>3152.0421546819784</v>
      </c>
      <c r="J71" s="485">
        <f t="shared" si="14"/>
        <v>3210.8530427379619</v>
      </c>
      <c r="K71" s="485">
        <f t="shared" si="14"/>
        <v>3276.0288834829121</v>
      </c>
      <c r="L71" s="485">
        <f t="shared" si="14"/>
        <v>3298.6221036621905</v>
      </c>
      <c r="M71" s="485">
        <f>SUM(M72:M75)</f>
        <v>3302.7623533148285</v>
      </c>
      <c r="N71" s="485">
        <f>SUM(N72:N75)</f>
        <v>3302.7623533148285</v>
      </c>
      <c r="P71" s="532"/>
      <c r="Q71" s="536"/>
      <c r="R71" s="536"/>
      <c r="S71" s="532"/>
    </row>
    <row r="72" spans="2:19" outlineLevel="1">
      <c r="B72" s="55" t="s">
        <v>21</v>
      </c>
      <c r="C72" s="313">
        <f>($M$72*'Effectif INSA'!$C3)/'Effectif INSA'!$C$13</f>
        <v>1856.0332317007155</v>
      </c>
      <c r="D72" s="313">
        <f>($M$72*'Effectif INSA'!$C4)/'Effectif INSA'!$C$13</f>
        <v>1878.0401926749123</v>
      </c>
      <c r="E72" s="313">
        <f>($M$72*'Effectif INSA'!$C5)/'Effectif INSA'!$C$13</f>
        <v>1894.2914869327806</v>
      </c>
      <c r="F72" s="313">
        <f>($M$72*'Effectif INSA'!$C6)/'Effectif INSA'!$C$13</f>
        <v>1930.17976175224</v>
      </c>
      <c r="G72" s="313">
        <f>($M$72*'Effectif INSA'!$C7)/'Effectif INSA'!$C$13</f>
        <v>1922.7312518840502</v>
      </c>
      <c r="H72" s="313">
        <f>($M$72*'Effectif INSA'!$C8)/'Effectif INSA'!$C$13</f>
        <v>1950.1553109442029</v>
      </c>
      <c r="I72" s="486">
        <f>($M$72*'Effectif INSA'!$C9)/'Effectif INSA'!$C$13</f>
        <v>1961.6666443768597</v>
      </c>
      <c r="J72" s="486">
        <f>($M$72*'Effectif INSA'!$C10)/'Effectif INSA'!$C$13</f>
        <v>2010.0819585200927</v>
      </c>
      <c r="K72" s="486">
        <f>($M$72*'Effectif INSA'!$C11)/'Effectif INSA'!$C$13</f>
        <v>2043.600252926946</v>
      </c>
      <c r="L72" s="486">
        <f>($M$72*'Effectif INSA'!$C12)/'Effectif INSA'!$C$13</f>
        <v>2072.7171551389602</v>
      </c>
      <c r="M72" s="487">
        <f>Tableau9[[#Totals],[Emissions (tCO2e)]]</f>
        <v>2076.4414100730551</v>
      </c>
      <c r="N72" s="488">
        <f>Tableau9[[#Totals],[Emissions (tCO2e)]]</f>
        <v>2076.4414100730551</v>
      </c>
      <c r="P72" s="537"/>
      <c r="Q72" s="159"/>
      <c r="R72" s="159"/>
      <c r="S72" s="537"/>
    </row>
    <row r="73" spans="2:19" outlineLevel="1">
      <c r="B73" s="55" t="s">
        <v>17</v>
      </c>
      <c r="C73" s="313">
        <f t="shared" ref="C73:H73" si="15">($M73*C$55/$M$55)</f>
        <v>359.09090909090907</v>
      </c>
      <c r="D73" s="313">
        <f t="shared" si="15"/>
        <v>364.65821000704722</v>
      </c>
      <c r="E73" s="313">
        <f t="shared" si="15"/>
        <v>357.97744890768149</v>
      </c>
      <c r="F73" s="313">
        <f t="shared" si="15"/>
        <v>395.83509513742069</v>
      </c>
      <c r="G73" s="313">
        <f t="shared" si="15"/>
        <v>389.71106412966878</v>
      </c>
      <c r="H73" s="313">
        <f t="shared" si="15"/>
        <v>393.88653981677237</v>
      </c>
      <c r="I73" s="489">
        <f>($M73*I$55/$M$55)</f>
        <v>385.81395348837208</v>
      </c>
      <c r="J73" s="490">
        <f>ROUND('Données Aériens Personnel'!F57,0)</f>
        <v>387</v>
      </c>
      <c r="K73" s="490">
        <f>ROUND('Données Aériens Personnel'!F49,0)</f>
        <v>409</v>
      </c>
      <c r="L73" s="489">
        <f>($M73*L$55/$M$55)</f>
        <v>395</v>
      </c>
      <c r="M73" s="490">
        <f>ROUND('Données Aériens Personnel'!F41,0)</f>
        <v>395</v>
      </c>
      <c r="N73" s="488">
        <v>395</v>
      </c>
      <c r="P73" s="537"/>
      <c r="Q73" s="159"/>
      <c r="R73" s="159"/>
      <c r="S73" s="537"/>
    </row>
    <row r="74" spans="2:19" outlineLevel="1">
      <c r="B74" s="55" t="s">
        <v>900</v>
      </c>
      <c r="C74" s="313">
        <f t="shared" ref="C74:I74" si="16">($L74*C$54/$L$54)</f>
        <v>207.31664064122819</v>
      </c>
      <c r="D74" s="313">
        <f t="shared" si="16"/>
        <v>209.77479125080134</v>
      </c>
      <c r="E74" s="313">
        <f t="shared" si="16"/>
        <v>211.59004093171686</v>
      </c>
      <c r="F74" s="313">
        <f t="shared" si="16"/>
        <v>215.59871731040533</v>
      </c>
      <c r="G74" s="313">
        <f t="shared" si="16"/>
        <v>214.76672787331907</v>
      </c>
      <c r="H74" s="313">
        <f>($L74*H$54/$L$54)</f>
        <v>217.82996170986399</v>
      </c>
      <c r="I74" s="486">
        <f t="shared" si="16"/>
        <v>219.11576356717919</v>
      </c>
      <c r="J74" s="486">
        <f>($L74*J$54/$L$54)</f>
        <v>224.52369490824006</v>
      </c>
      <c r="K74" s="486">
        <f>($L74*K$54/$L$54)</f>
        <v>228.26764737512832</v>
      </c>
      <c r="L74" s="490">
        <f>'Données domicile-travail'!Q17</f>
        <v>231.51996972010198</v>
      </c>
      <c r="M74" s="486">
        <f>($L74*M$54/$L$54)</f>
        <v>231.93596443864513</v>
      </c>
      <c r="N74" s="488">
        <v>231.93596443864513</v>
      </c>
      <c r="P74" s="537"/>
      <c r="Q74" s="159"/>
      <c r="R74" s="159"/>
      <c r="S74" s="537"/>
    </row>
    <row r="75" spans="2:19" ht="15" outlineLevel="1" thickBot="1">
      <c r="B75" s="325" t="s">
        <v>908</v>
      </c>
      <c r="C75" s="313">
        <f t="shared" ref="C75:K75" si="17">($L75*C$55/$L$55)</f>
        <v>544.89543527557146</v>
      </c>
      <c r="D75" s="313">
        <f t="shared" si="17"/>
        <v>553.34342652015391</v>
      </c>
      <c r="E75" s="313">
        <f t="shared" si="17"/>
        <v>543.20583702665488</v>
      </c>
      <c r="F75" s="313">
        <f t="shared" si="17"/>
        <v>600.65217748981593</v>
      </c>
      <c r="G75" s="313">
        <f t="shared" si="17"/>
        <v>591.35938712077518</v>
      </c>
      <c r="H75" s="313">
        <f t="shared" si="17"/>
        <v>597.69538055421208</v>
      </c>
      <c r="I75" s="486">
        <f t="shared" si="17"/>
        <v>585.44579324956737</v>
      </c>
      <c r="J75" s="486">
        <f t="shared" si="17"/>
        <v>589.24738930962951</v>
      </c>
      <c r="K75" s="486">
        <f t="shared" si="17"/>
        <v>595.16098318083732</v>
      </c>
      <c r="L75" s="490">
        <f>'Données domicile-travail'!Q18+'Données domicile-travail'!Q19</f>
        <v>599.38497880312855</v>
      </c>
      <c r="M75" s="486">
        <f>($L75*M$55/$L$55)</f>
        <v>599.38497880312855</v>
      </c>
      <c r="N75" s="488">
        <v>599.38497880312855</v>
      </c>
      <c r="P75" s="537"/>
      <c r="Q75" s="159"/>
      <c r="R75" s="159"/>
      <c r="S75" s="537"/>
    </row>
    <row r="76" spans="2:19" s="43" customFormat="1">
      <c r="B76" s="66" t="s">
        <v>18</v>
      </c>
      <c r="C76" s="87">
        <f>D76</f>
        <v>1265.914084</v>
      </c>
      <c r="D76" s="87">
        <f>E76</f>
        <v>1265.914084</v>
      </c>
      <c r="E76" s="87">
        <f>F76</f>
        <v>1265.914084</v>
      </c>
      <c r="F76" s="87">
        <f>G76</f>
        <v>1265.914084</v>
      </c>
      <c r="G76" s="87">
        <f>H76</f>
        <v>1265.914084</v>
      </c>
      <c r="H76" s="67">
        <f t="shared" ref="H76:N76" si="18">SUM(H77:H81)</f>
        <v>1265.914084</v>
      </c>
      <c r="I76" s="491">
        <f t="shared" si="18"/>
        <v>1055.9753800000001</v>
      </c>
      <c r="J76" s="491">
        <f t="shared" si="18"/>
        <v>1017.52931</v>
      </c>
      <c r="K76" s="491">
        <f t="shared" si="18"/>
        <v>1055.11113</v>
      </c>
      <c r="L76" s="491">
        <f t="shared" si="18"/>
        <v>1075.79249</v>
      </c>
      <c r="M76" s="491">
        <f t="shared" si="18"/>
        <v>972.54480000000001</v>
      </c>
      <c r="N76" s="491">
        <f t="shared" si="18"/>
        <v>454.22615999999999</v>
      </c>
      <c r="P76" s="532"/>
      <c r="Q76" s="536"/>
      <c r="R76" s="536"/>
      <c r="S76" s="532"/>
    </row>
    <row r="77" spans="2:19" outlineLevel="1">
      <c r="B77" s="56" t="s">
        <v>22</v>
      </c>
      <c r="C77" s="85">
        <f>(H77*'Effectif INSA'!$C$3)/'Effectif INSA'!$C$8</f>
        <v>598.35091017152786</v>
      </c>
      <c r="D77" s="85">
        <f>(H77*'Effectif INSA'!$C$4)/'Effectif INSA'!$C$8</f>
        <v>605.44554883645844</v>
      </c>
      <c r="E77" s="85">
        <f>(H77*'Effectif INSA'!$C$5)/'Effectif INSA'!$C$8</f>
        <v>610.68466661979176</v>
      </c>
      <c r="F77" s="85">
        <f>(H77*'Effectif INSA'!$C$6)/'Effectif INSA'!$C$8</f>
        <v>622.25438505798616</v>
      </c>
      <c r="G77" s="85">
        <f>(H77*'Effectif INSA'!$C$7)/'Effectif INSA'!$C$8</f>
        <v>619.85312274062505</v>
      </c>
      <c r="H77" s="57">
        <f>'Données Alimentaire'!G57</f>
        <v>628.69413400000008</v>
      </c>
      <c r="I77" s="492">
        <f>'Données Alimentaire'!I57</f>
        <v>475.92379000000005</v>
      </c>
      <c r="J77" s="57">
        <f>'Données Alimentaire'!K57</f>
        <v>510.92471999999998</v>
      </c>
      <c r="K77" s="492">
        <f>'Données Alimentaire'!M57</f>
        <v>518.55461000000003</v>
      </c>
      <c r="L77" s="57">
        <f>'Données Alimentaire'!O57</f>
        <v>550.94590000000005</v>
      </c>
      <c r="M77" s="492">
        <f>'Données Alimentaire'!Q57</f>
        <v>435.63565</v>
      </c>
      <c r="N77" s="57">
        <f>'Données Alimentaire'!S57</f>
        <v>195.37800000000001</v>
      </c>
      <c r="P77" s="537"/>
      <c r="Q77" s="159"/>
      <c r="R77" s="159"/>
      <c r="S77" s="537"/>
    </row>
    <row r="78" spans="2:19" outlineLevel="1">
      <c r="B78" s="56" t="s">
        <v>3</v>
      </c>
      <c r="C78" s="85">
        <f>(H78*'Effectif INSA'!$C$3)/'Effectif INSA'!$C$8</f>
        <v>302.3037003298611</v>
      </c>
      <c r="D78" s="85">
        <f>(H78*'Effectif INSA'!$C$4)/'Effectif INSA'!$C$8</f>
        <v>305.88811122395833</v>
      </c>
      <c r="E78" s="85">
        <f>(H78*'Effectif INSA'!$C$5)/'Effectif INSA'!$C$8</f>
        <v>308.53506080729164</v>
      </c>
      <c r="F78" s="85">
        <f>(H78*'Effectif INSA'!$C$6)/'Effectif INSA'!$C$8</f>
        <v>314.38040780381942</v>
      </c>
      <c r="G78" s="85">
        <f>(H78*'Effectif INSA'!$C$7)/'Effectif INSA'!$C$8</f>
        <v>313.16722257812495</v>
      </c>
      <c r="H78" s="57">
        <f>'Données Alimentaire'!G58</f>
        <v>317.63394999999997</v>
      </c>
      <c r="I78" s="492">
        <f>'Données Alimentaire'!I58</f>
        <v>307.67379000000005</v>
      </c>
      <c r="J78" s="57">
        <f>'Données Alimentaire'!K58</f>
        <v>241.74489000000003</v>
      </c>
      <c r="K78" s="492">
        <f>'Données Alimentaire'!M58</f>
        <v>268.26582000000002</v>
      </c>
      <c r="L78" s="57">
        <f>'Données Alimentaire'!O58</f>
        <v>285.14919000000003</v>
      </c>
      <c r="M78" s="492">
        <f>'Données Alimentaire'!Q58</f>
        <v>288.08575000000002</v>
      </c>
      <c r="N78" s="57">
        <f>'Données Alimentaire'!S58</f>
        <v>129.67449999999999</v>
      </c>
      <c r="P78" s="537"/>
      <c r="Q78" s="159"/>
      <c r="R78" s="159"/>
      <c r="S78" s="537"/>
    </row>
    <row r="79" spans="2:19" outlineLevel="1">
      <c r="B79" s="56" t="s">
        <v>4</v>
      </c>
      <c r="C79" s="85">
        <f>(H79*'Effectif INSA'!$C$3)/'Effectif INSA'!$C$8</f>
        <v>110.86869131944445</v>
      </c>
      <c r="D79" s="85">
        <f>(H79*'Effectif INSA'!$C$4)/'Effectif INSA'!$C$8</f>
        <v>112.18325989583334</v>
      </c>
      <c r="E79" s="85">
        <f>(H79*'Effectif INSA'!$C$5)/'Effectif INSA'!$C$8</f>
        <v>113.15401822916667</v>
      </c>
      <c r="F79" s="85">
        <f>(H79*'Effectif INSA'!$C$6)/'Effectif INSA'!$C$8</f>
        <v>115.29777621527778</v>
      </c>
      <c r="G79" s="85">
        <f>(H79*'Effectif INSA'!$C$7)/'Effectif INSA'!$C$8</f>
        <v>114.85284531249999</v>
      </c>
      <c r="H79" s="57">
        <f>'Données Alimentaire'!G59</f>
        <v>116.491</v>
      </c>
      <c r="I79" s="492">
        <f>'Données Alimentaire'!I59</f>
        <v>115.54900000000001</v>
      </c>
      <c r="J79" s="57">
        <f>'Données Alimentaire'!K59</f>
        <v>117.152</v>
      </c>
      <c r="K79" s="492">
        <f>'Données Alimentaire'!M59</f>
        <v>111.47</v>
      </c>
      <c r="L79" s="57">
        <f>'Données Alimentaire'!O59</f>
        <v>98.665000000000006</v>
      </c>
      <c r="M79" s="492">
        <f>'Données Alimentaire'!Q59</f>
        <v>109.46900000000001</v>
      </c>
      <c r="N79" s="57">
        <f>'Données Alimentaire'!S59</f>
        <v>41.661999999999999</v>
      </c>
      <c r="P79" s="537"/>
      <c r="Q79" s="159"/>
      <c r="R79" s="159"/>
      <c r="S79" s="537"/>
    </row>
    <row r="80" spans="2:19" outlineLevel="1">
      <c r="B80" s="56" t="s">
        <v>24</v>
      </c>
      <c r="C80" s="85">
        <f>(H80*'Effectif INSA'!$C$3)/'Effectif INSA'!$C$8</f>
        <v>119.9040932638889</v>
      </c>
      <c r="D80" s="85">
        <f>(H80*'Effectif INSA'!$C$4)/'Effectif INSA'!$C$8</f>
        <v>121.32579447916669</v>
      </c>
      <c r="E80" s="85">
        <f>(H80*'Effectif INSA'!$C$5)/'Effectif INSA'!$C$8</f>
        <v>122.37566614583335</v>
      </c>
      <c r="F80" s="85">
        <f>(H80*'Effectif INSA'!$C$6)/'Effectif INSA'!$C$8</f>
        <v>124.69413274305556</v>
      </c>
      <c r="G80" s="85">
        <f>(H80*'Effectif INSA'!$C$7)/'Effectif INSA'!$C$8</f>
        <v>124.21294156250002</v>
      </c>
      <c r="H80" s="57">
        <f>'Données Alimentaire'!G60</f>
        <v>125.98460000000001</v>
      </c>
      <c r="I80" s="492">
        <f>'Données Alimentaire'!I60</f>
        <v>94.181600000000003</v>
      </c>
      <c r="J80" s="57">
        <f>'Données Alimentaire'!K60</f>
        <v>83.485199999999992</v>
      </c>
      <c r="K80" s="492">
        <f>'Données Alimentaire'!M60</f>
        <v>87.61760000000001</v>
      </c>
      <c r="L80" s="57">
        <f>'Données Alimentaire'!O60</f>
        <v>83.270200000000003</v>
      </c>
      <c r="M80" s="492">
        <f>'Données Alimentaire'!Q60</f>
        <v>84.3947</v>
      </c>
      <c r="N80" s="57">
        <f>'Données Alimentaire'!S60</f>
        <v>56.84254</v>
      </c>
      <c r="P80" s="537"/>
      <c r="Q80" s="159"/>
      <c r="R80" s="159"/>
      <c r="S80" s="537"/>
    </row>
    <row r="81" spans="2:19" ht="15" outlineLevel="1" thickBot="1">
      <c r="B81" s="58" t="s">
        <v>29</v>
      </c>
      <c r="C81" s="85">
        <f>(H81*'Effectif INSA'!$C$3)/'Effectif INSA'!$C$8</f>
        <v>73.388752222222223</v>
      </c>
      <c r="D81" s="85">
        <f>(H81*'Effectif INSA'!$C$4)/'Effectif INSA'!$C$8</f>
        <v>74.258921666666666</v>
      </c>
      <c r="E81" s="85">
        <f>(H81*'Effectif INSA'!$C$5)/'Effectif INSA'!$C$8</f>
        <v>74.901508333333325</v>
      </c>
      <c r="F81" s="85">
        <f>(H81*'Effectif INSA'!$C$6)/'Effectif INSA'!$C$8</f>
        <v>76.320553888888881</v>
      </c>
      <c r="G81" s="85">
        <f>(H81*'Effectif INSA'!$C$7)/'Effectif INSA'!$C$8</f>
        <v>76.026034999999993</v>
      </c>
      <c r="H81" s="57">
        <f>'Données Alimentaire'!G61</f>
        <v>77.110399999999998</v>
      </c>
      <c r="I81" s="492">
        <f>'Données Alimentaire'!I61</f>
        <v>62.647199999999998</v>
      </c>
      <c r="J81" s="57">
        <f>'Données Alimentaire'!K61</f>
        <v>64.222499999999997</v>
      </c>
      <c r="K81" s="492">
        <f>'Données Alimentaire'!M61</f>
        <v>69.203100000000006</v>
      </c>
      <c r="L81" s="57">
        <f>'Données Alimentaire'!O61</f>
        <v>57.7622</v>
      </c>
      <c r="M81" s="492">
        <f>'Données Alimentaire'!Q61</f>
        <v>54.959699999999998</v>
      </c>
      <c r="N81" s="57">
        <f>'Données Alimentaire'!S61</f>
        <v>30.669119999999999</v>
      </c>
      <c r="P81" s="537"/>
      <c r="Q81" s="159"/>
      <c r="R81" s="159"/>
      <c r="S81" s="537"/>
    </row>
    <row r="82" spans="2:19" s="43" customFormat="1">
      <c r="B82" s="68" t="s">
        <v>7</v>
      </c>
      <c r="C82" s="69">
        <f t="shared" ref="C82:N82" si="19">SUM(C83:C96)</f>
        <v>54.551532000000002</v>
      </c>
      <c r="D82" s="69">
        <f t="shared" si="19"/>
        <v>124.07206818571427</v>
      </c>
      <c r="E82" s="69">
        <f t="shared" si="19"/>
        <v>111.61654008367347</v>
      </c>
      <c r="F82" s="69">
        <f t="shared" si="19"/>
        <v>122.97812458571427</v>
      </c>
      <c r="G82" s="69">
        <f t="shared" si="19"/>
        <v>110.5009032857143</v>
      </c>
      <c r="H82" s="69">
        <f t="shared" si="19"/>
        <v>107.62211325714286</v>
      </c>
      <c r="I82" s="493">
        <f t="shared" si="19"/>
        <v>138.72284985714282</v>
      </c>
      <c r="J82" s="493">
        <f t="shared" si="19"/>
        <v>143.19785791428569</v>
      </c>
      <c r="K82" s="493">
        <f t="shared" si="19"/>
        <v>163.58625385000002</v>
      </c>
      <c r="L82" s="493">
        <f t="shared" si="19"/>
        <v>140.68601618999998</v>
      </c>
      <c r="M82" s="493">
        <f t="shared" si="19"/>
        <v>115.21655747</v>
      </c>
      <c r="N82" s="493">
        <f t="shared" si="19"/>
        <v>61.159587549999998</v>
      </c>
      <c r="P82" s="532"/>
      <c r="Q82" s="536"/>
      <c r="R82" s="536"/>
      <c r="S82" s="532"/>
    </row>
    <row r="83" spans="2:19" outlineLevel="1">
      <c r="B83" s="59" t="s">
        <v>1085</v>
      </c>
      <c r="C83" s="86">
        <v>0</v>
      </c>
      <c r="D83" s="60">
        <v>21.063419999999997</v>
      </c>
      <c r="E83" s="60">
        <v>18.62228</v>
      </c>
      <c r="F83" s="60">
        <v>15.649859999999997</v>
      </c>
      <c r="G83" s="60">
        <v>13.087350000000002</v>
      </c>
      <c r="H83" s="60">
        <v>16.657918000000002</v>
      </c>
      <c r="I83" s="494">
        <f>'Données Déchets'!C54</f>
        <v>15.805579999999999</v>
      </c>
      <c r="J83" s="494">
        <f>'Données Déchets'!D54</f>
        <v>16.25442</v>
      </c>
      <c r="K83" s="494">
        <f>'Données Déchets'!E54</f>
        <v>11.96754</v>
      </c>
      <c r="L83" s="494">
        <f>'Données Déchets'!F54</f>
        <v>6.8812209999999983</v>
      </c>
      <c r="M83" s="494">
        <f>'Données Déchets'!G54</f>
        <v>8.0514109999999999</v>
      </c>
      <c r="N83" s="494">
        <f>'Données Déchets'!H54</f>
        <v>5.8885059999999996</v>
      </c>
      <c r="P83" s="537"/>
      <c r="Q83" s="159"/>
      <c r="R83" s="159"/>
      <c r="S83" s="537"/>
    </row>
    <row r="84" spans="2:19" outlineLevel="1">
      <c r="B84" s="59" t="s">
        <v>1086</v>
      </c>
      <c r="C84" s="497">
        <v>0</v>
      </c>
      <c r="D84" s="498">
        <v>9.7743000000000002</v>
      </c>
      <c r="E84" s="498">
        <v>10.1835</v>
      </c>
      <c r="F84" s="498">
        <v>11.978399999999999</v>
      </c>
      <c r="G84" s="498">
        <v>9.2256</v>
      </c>
      <c r="H84" s="498">
        <v>7.8895</v>
      </c>
      <c r="I84" s="494">
        <f>'Données Déchets'!C55</f>
        <v>5.8186999999999998</v>
      </c>
      <c r="J84" s="494">
        <f>'Données Déchets'!D55</f>
        <v>6.5146500000000005</v>
      </c>
      <c r="K84" s="494">
        <f>'Données Déchets'!E55</f>
        <v>12.434100000000001</v>
      </c>
      <c r="L84" s="494">
        <f>'Données Déchets'!F55</f>
        <v>7.3377000000000008</v>
      </c>
      <c r="M84" s="494">
        <f>'Données Déchets'!G55</f>
        <v>10.512828500000001</v>
      </c>
      <c r="N84" s="494">
        <f>'Données Déchets'!H55</f>
        <v>4.1032995000000003</v>
      </c>
      <c r="P84" s="537"/>
      <c r="Q84" s="159"/>
      <c r="R84" s="159"/>
      <c r="S84" s="537"/>
    </row>
    <row r="85" spans="2:19" outlineLevel="1">
      <c r="B85" s="59" t="s">
        <v>0</v>
      </c>
      <c r="C85" s="497">
        <v>22.130534999999998</v>
      </c>
      <c r="D85" s="498">
        <v>20.213339999999999</v>
      </c>
      <c r="E85" s="498">
        <v>9.7675200000000011</v>
      </c>
      <c r="F85" s="498">
        <v>23.309579999999997</v>
      </c>
      <c r="G85" s="498">
        <v>23.026289999999999</v>
      </c>
      <c r="H85" s="498">
        <v>15.171975</v>
      </c>
      <c r="I85" s="494">
        <f>'Données Déchets'!C56</f>
        <v>10.673249999999999</v>
      </c>
      <c r="J85" s="494">
        <f>'Données Déchets'!D56</f>
        <v>8.9176500000000001</v>
      </c>
      <c r="K85" s="494">
        <f>'Données Déchets'!E56</f>
        <v>9.8952000000000009</v>
      </c>
      <c r="L85" s="494">
        <f>'Données Déchets'!F56</f>
        <v>15.96</v>
      </c>
      <c r="M85" s="494">
        <f>'Données Déchets'!G56</f>
        <v>31.002299999999998</v>
      </c>
      <c r="N85" s="494">
        <f>'Données Déchets'!H56</f>
        <v>8.1395999999999997</v>
      </c>
      <c r="P85" s="537"/>
      <c r="Q85" s="159"/>
      <c r="R85" s="159"/>
      <c r="S85" s="537"/>
    </row>
    <row r="86" spans="2:19" outlineLevel="1">
      <c r="B86" s="59" t="s">
        <v>1094</v>
      </c>
      <c r="C86" s="497">
        <v>0</v>
      </c>
      <c r="D86" s="497">
        <v>0</v>
      </c>
      <c r="E86" s="497">
        <v>0</v>
      </c>
      <c r="F86" s="498">
        <v>0</v>
      </c>
      <c r="G86" s="498">
        <v>0</v>
      </c>
      <c r="H86" s="498">
        <v>0</v>
      </c>
      <c r="I86" s="494">
        <f>'Données Déchets'!C57</f>
        <v>35.083229999999993</v>
      </c>
      <c r="J86" s="494">
        <f>'Données Déchets'!D57</f>
        <v>38.965679999999999</v>
      </c>
      <c r="K86" s="494">
        <f>'Données Déchets'!E57</f>
        <v>58.801470000000002</v>
      </c>
      <c r="L86" s="494">
        <f>'Données Déchets'!F57</f>
        <v>48.671804999999999</v>
      </c>
      <c r="M86" s="494">
        <f>'Données Déchets'!G57</f>
        <v>0</v>
      </c>
      <c r="N86" s="494">
        <f>'Données Déchets'!H57</f>
        <v>0</v>
      </c>
      <c r="P86" s="537"/>
      <c r="Q86" s="159"/>
      <c r="R86" s="159"/>
      <c r="S86" s="537"/>
    </row>
    <row r="87" spans="2:19" outlineLevel="1">
      <c r="B87" s="59" t="s">
        <v>1089</v>
      </c>
      <c r="C87" s="86">
        <v>7.6106369999999997</v>
      </c>
      <c r="D87" s="86">
        <v>10.3398</v>
      </c>
      <c r="E87" s="86">
        <v>6.27644</v>
      </c>
      <c r="F87" s="86">
        <v>3.8302610000000001</v>
      </c>
      <c r="G87" s="86">
        <v>3.5137180000000003</v>
      </c>
      <c r="H87" s="86">
        <v>2.5414140000000001</v>
      </c>
      <c r="I87" s="494">
        <f>'Données Déchets'!C58</f>
        <v>3.1654300000000002</v>
      </c>
      <c r="J87" s="494">
        <f>'Données Déchets'!D58</f>
        <v>2.7844899999999999</v>
      </c>
      <c r="K87" s="494">
        <f>'Données Déchets'!E58</f>
        <v>2.7210000000000001</v>
      </c>
      <c r="L87" s="494">
        <f>'Données Déchets'!F58</f>
        <v>1.46027</v>
      </c>
      <c r="M87" s="494">
        <f>'Données Déchets'!G58</f>
        <v>2.1858700000000004</v>
      </c>
      <c r="N87" s="494">
        <f>'Données Déchets'!H58</f>
        <v>0.74373999999999996</v>
      </c>
      <c r="P87" s="537"/>
      <c r="Q87" s="159"/>
      <c r="R87" s="159"/>
      <c r="S87" s="537"/>
    </row>
    <row r="88" spans="2:19" outlineLevel="1">
      <c r="B88" s="59" t="s">
        <v>1090</v>
      </c>
      <c r="C88" s="86">
        <v>0</v>
      </c>
      <c r="D88" s="86">
        <v>0</v>
      </c>
      <c r="E88" s="86">
        <v>0</v>
      </c>
      <c r="F88" s="86">
        <v>0</v>
      </c>
      <c r="G88" s="86">
        <v>0</v>
      </c>
      <c r="H88" s="86">
        <v>0</v>
      </c>
      <c r="I88" s="494">
        <f>'Données Déchets'!C59</f>
        <v>0</v>
      </c>
      <c r="J88" s="494">
        <f>'Données Déchets'!D59</f>
        <v>0</v>
      </c>
      <c r="K88" s="494">
        <f>'Données Déchets'!E59</f>
        <v>0</v>
      </c>
      <c r="L88" s="494">
        <f>'Données Déchets'!F59</f>
        <v>0</v>
      </c>
      <c r="M88" s="494">
        <f>'Données Déchets'!G59</f>
        <v>1.5325799999999998</v>
      </c>
      <c r="N88" s="494">
        <f>'Données Déchets'!H59</f>
        <v>0.73514000000000002</v>
      </c>
      <c r="P88" s="537"/>
      <c r="Q88" s="159"/>
      <c r="R88" s="159"/>
      <c r="S88" s="537"/>
    </row>
    <row r="89" spans="2:19" outlineLevel="1">
      <c r="B89" s="59" t="s">
        <v>19</v>
      </c>
      <c r="C89" s="86">
        <v>0</v>
      </c>
      <c r="D89" s="86">
        <v>39.111719999999998</v>
      </c>
      <c r="E89" s="86">
        <v>41.578170000000007</v>
      </c>
      <c r="F89" s="86">
        <v>37.463070000000002</v>
      </c>
      <c r="G89" s="86">
        <v>30.443909999999999</v>
      </c>
      <c r="H89" s="86">
        <v>36.484319999999997</v>
      </c>
      <c r="I89" s="494">
        <f>'Données Déchets'!C60</f>
        <v>33.359279999999998</v>
      </c>
      <c r="J89" s="494">
        <f>'Données Déchets'!D60</f>
        <v>38.648879999999998</v>
      </c>
      <c r="K89" s="494">
        <f>'Données Déchets'!E60</f>
        <v>31.147739999999999</v>
      </c>
      <c r="L89" s="494">
        <f>'Données Déchets'!F60</f>
        <v>29.48169</v>
      </c>
      <c r="M89" s="494">
        <f>'Données Déchets'!G60</f>
        <v>27.77562</v>
      </c>
      <c r="N89" s="494">
        <f>'Données Déchets'!H60</f>
        <v>17.42088</v>
      </c>
      <c r="P89" s="537"/>
      <c r="Q89" s="159"/>
      <c r="R89" s="159"/>
      <c r="S89" s="537"/>
    </row>
    <row r="90" spans="2:19" outlineLevel="1">
      <c r="B90" s="59" t="s">
        <v>1087</v>
      </c>
      <c r="C90" s="86">
        <v>0</v>
      </c>
      <c r="D90" s="86">
        <v>1.0106739</v>
      </c>
      <c r="E90" s="86">
        <v>1.2257108999999999</v>
      </c>
      <c r="F90" s="86">
        <v>0.71917929999999997</v>
      </c>
      <c r="G90" s="86">
        <v>0.40618099999999996</v>
      </c>
      <c r="H90" s="86">
        <v>0.80758339999999995</v>
      </c>
      <c r="I90" s="494">
        <f>'Données Déchets'!C61</f>
        <v>0.6928970000000001</v>
      </c>
      <c r="J90" s="494">
        <f>'Données Déchets'!D61</f>
        <v>0.60688220000000004</v>
      </c>
      <c r="K90" s="494">
        <f>'Données Déchets'!E61</f>
        <v>2.0177638500000001</v>
      </c>
      <c r="L90" s="494">
        <f>'Données Déchets'!F61</f>
        <v>2.4808101900000001</v>
      </c>
      <c r="M90" s="494">
        <f>'Données Déchets'!G61</f>
        <v>3.9014879700000002</v>
      </c>
      <c r="N90" s="494">
        <f>'Données Déchets'!H61</f>
        <v>2.4335020499999995</v>
      </c>
      <c r="P90" s="537"/>
      <c r="Q90" s="159"/>
      <c r="R90" s="159"/>
      <c r="S90" s="537"/>
    </row>
    <row r="91" spans="2:19" outlineLevel="1">
      <c r="B91" s="59" t="s">
        <v>1098</v>
      </c>
      <c r="C91" s="497">
        <v>0</v>
      </c>
      <c r="D91" s="498">
        <v>0</v>
      </c>
      <c r="E91" s="498">
        <v>0</v>
      </c>
      <c r="F91" s="498">
        <v>0</v>
      </c>
      <c r="G91" s="498">
        <v>0</v>
      </c>
      <c r="H91" s="498">
        <v>0</v>
      </c>
      <c r="I91" s="494">
        <f>'Données Déchets'!C62</f>
        <v>0</v>
      </c>
      <c r="J91" s="494">
        <f>'Données Déchets'!D62</f>
        <v>0</v>
      </c>
      <c r="K91" s="494">
        <f>'Données Déchets'!E62</f>
        <v>0</v>
      </c>
      <c r="L91" s="494">
        <f>'Données Déchets'!F62</f>
        <v>0</v>
      </c>
      <c r="M91" s="494">
        <f>'Données Déchets'!G62</f>
        <v>1.5372000000000001</v>
      </c>
      <c r="N91" s="494">
        <f>'Données Déchets'!H62</f>
        <v>0.55143999999999993</v>
      </c>
      <c r="P91" s="537"/>
      <c r="Q91" s="159"/>
      <c r="R91" s="159"/>
      <c r="S91" s="537"/>
    </row>
    <row r="92" spans="2:19" outlineLevel="1">
      <c r="B92" s="105" t="s">
        <v>1100</v>
      </c>
      <c r="C92" s="86">
        <v>0</v>
      </c>
      <c r="D92" s="498">
        <v>0</v>
      </c>
      <c r="E92" s="498">
        <v>0</v>
      </c>
      <c r="F92" s="498">
        <v>5.3466000000000005</v>
      </c>
      <c r="G92" s="498">
        <v>6.3596400000000006</v>
      </c>
      <c r="H92" s="498">
        <v>3.5643999999999996</v>
      </c>
      <c r="I92" s="494">
        <f>'Données Déchets'!C63</f>
        <v>10.974599999999999</v>
      </c>
      <c r="J92" s="494">
        <f>'Données Déchets'!D63</f>
        <v>6.1345200000000002</v>
      </c>
      <c r="K92" s="494">
        <f>'Données Déchets'!E63</f>
        <v>11.612440000000001</v>
      </c>
      <c r="L92" s="494">
        <f>'Données Déchets'!F63</f>
        <v>4.4461199999999996</v>
      </c>
      <c r="M92" s="494">
        <f>'Données Déchets'!G63</f>
        <v>6.9224399999999999</v>
      </c>
      <c r="N92" s="494">
        <f>'Données Déchets'!H63</f>
        <v>0</v>
      </c>
      <c r="P92" s="538"/>
      <c r="Q92" s="159"/>
      <c r="R92" s="159"/>
      <c r="S92" s="537"/>
    </row>
    <row r="93" spans="2:19" outlineLevel="1">
      <c r="B93" s="59" t="s">
        <v>1099</v>
      </c>
      <c r="C93" s="495">
        <v>0</v>
      </c>
      <c r="D93" s="495">
        <v>0.30030000000000001</v>
      </c>
      <c r="E93" s="495">
        <v>0.57694000000000001</v>
      </c>
      <c r="F93" s="495">
        <v>0.39806000000000002</v>
      </c>
      <c r="G93" s="495">
        <v>1.1102000000000001</v>
      </c>
      <c r="H93" s="495">
        <v>1.6577599999999999</v>
      </c>
      <c r="I93" s="494">
        <f>'Données Déchets'!C64</f>
        <v>2.0571199999999998</v>
      </c>
      <c r="J93" s="494">
        <f>'Données Déchets'!D64</f>
        <v>0.4355</v>
      </c>
      <c r="K93" s="494">
        <f>'Données Déchets'!E64</f>
        <v>0.78155999999999992</v>
      </c>
      <c r="L93" s="494">
        <f>'Données Déchets'!F64</f>
        <v>0.50544</v>
      </c>
      <c r="M93" s="494">
        <f>'Données Déchets'!G64</f>
        <v>0.32525999999999999</v>
      </c>
      <c r="N93" s="494">
        <f>'Données Déchets'!H64</f>
        <v>1.1434800000000001</v>
      </c>
      <c r="P93" s="538"/>
      <c r="Q93" s="159"/>
      <c r="R93" s="159"/>
      <c r="S93" s="537"/>
    </row>
    <row r="94" spans="2:19" outlineLevel="1">
      <c r="B94" s="59" t="s">
        <v>1101</v>
      </c>
      <c r="C94" s="499">
        <v>0</v>
      </c>
      <c r="D94" s="499">
        <v>0</v>
      </c>
      <c r="E94" s="499">
        <v>0.37584000000000001</v>
      </c>
      <c r="F94" s="499">
        <v>1.0509600000000001</v>
      </c>
      <c r="G94" s="499">
        <v>0.43326000000000003</v>
      </c>
      <c r="H94" s="499">
        <v>0</v>
      </c>
      <c r="I94" s="494">
        <f>'Données Déchets'!C65</f>
        <v>0</v>
      </c>
      <c r="J94" s="494">
        <f>'Données Déchets'!D65</f>
        <v>0</v>
      </c>
      <c r="K94" s="494">
        <f>'Données Déchets'!E65</f>
        <v>0.37584000000000001</v>
      </c>
      <c r="L94" s="494">
        <f>'Données Déchets'!F65</f>
        <v>1.0509600000000001</v>
      </c>
      <c r="M94" s="494">
        <f>'Données Déchets'!G65</f>
        <v>0.43326000000000003</v>
      </c>
      <c r="N94" s="494">
        <f>'Données Déchets'!H65</f>
        <v>0</v>
      </c>
      <c r="P94" s="538"/>
      <c r="Q94" s="159"/>
      <c r="R94" s="159"/>
      <c r="S94" s="537"/>
    </row>
    <row r="95" spans="2:19" outlineLevel="1">
      <c r="B95" s="59" t="s">
        <v>1</v>
      </c>
      <c r="C95" s="500">
        <v>4.8103600000000002</v>
      </c>
      <c r="D95" s="501">
        <v>2.2585142857142855</v>
      </c>
      <c r="E95" s="501">
        <v>3.0101391836734699</v>
      </c>
      <c r="F95" s="501">
        <v>3.2321542857142864</v>
      </c>
      <c r="G95" s="501">
        <v>2.8947542857142858</v>
      </c>
      <c r="H95" s="501">
        <v>2.8472428571428572</v>
      </c>
      <c r="I95" s="494">
        <f>'Données Déchets'!C66</f>
        <v>1.0927628571428571</v>
      </c>
      <c r="J95" s="494">
        <f>'Données Déchets'!D66</f>
        <v>3.9351857142857143</v>
      </c>
      <c r="K95" s="494">
        <f>'Données Déchets'!E66</f>
        <v>1.8316000000000001</v>
      </c>
      <c r="L95" s="494">
        <f>'Données Déchets'!F66</f>
        <v>2.41</v>
      </c>
      <c r="M95" s="494">
        <f>'Données Déchets'!G66</f>
        <v>1.0363</v>
      </c>
      <c r="N95" s="494">
        <f>'Données Déchets'!H66</f>
        <v>0</v>
      </c>
      <c r="P95" s="538"/>
      <c r="Q95" s="159"/>
      <c r="R95" s="159"/>
      <c r="S95" s="537"/>
    </row>
    <row r="96" spans="2:19" ht="15" outlineLevel="1" thickBot="1">
      <c r="B96" s="59" t="s">
        <v>1109</v>
      </c>
      <c r="C96" s="60">
        <v>20</v>
      </c>
      <c r="D96" s="60">
        <v>20</v>
      </c>
      <c r="E96" s="60">
        <v>20</v>
      </c>
      <c r="F96" s="60">
        <v>20</v>
      </c>
      <c r="G96" s="60">
        <v>20</v>
      </c>
      <c r="H96" s="60">
        <v>20</v>
      </c>
      <c r="I96" s="60">
        <v>20</v>
      </c>
      <c r="J96" s="60">
        <v>20</v>
      </c>
      <c r="K96" s="60">
        <v>20</v>
      </c>
      <c r="L96" s="60">
        <v>20</v>
      </c>
      <c r="M96" s="60">
        <v>20</v>
      </c>
      <c r="N96" s="60">
        <v>20</v>
      </c>
      <c r="P96" s="538"/>
      <c r="Q96" s="159"/>
      <c r="R96" s="159"/>
      <c r="S96" s="537"/>
    </row>
    <row r="97" spans="2:19" ht="16.2" thickTop="1">
      <c r="B97" s="22" t="s">
        <v>30</v>
      </c>
      <c r="C97" s="568">
        <f t="shared" ref="C97:N97" si="20">C58+C64+C71+C76+C82</f>
        <v>12053.022975716949</v>
      </c>
      <c r="D97" s="568">
        <f t="shared" si="20"/>
        <v>12885.484513693766</v>
      </c>
      <c r="E97" s="568">
        <f t="shared" si="20"/>
        <v>11478.435073822679</v>
      </c>
      <c r="F97" s="568">
        <f t="shared" si="20"/>
        <v>12049.024507834585</v>
      </c>
      <c r="G97" s="568">
        <f t="shared" si="20"/>
        <v>12650.350119138768</v>
      </c>
      <c r="H97" s="568">
        <f t="shared" si="20"/>
        <v>11014.760355393912</v>
      </c>
      <c r="I97" s="568">
        <f t="shared" si="20"/>
        <v>11184.930461538048</v>
      </c>
      <c r="J97" s="568">
        <f t="shared" si="20"/>
        <v>11209.706009060063</v>
      </c>
      <c r="K97" s="568">
        <f t="shared" si="20"/>
        <v>8967.6157048792375</v>
      </c>
      <c r="L97" s="568">
        <f t="shared" si="20"/>
        <v>8742.76141722176</v>
      </c>
      <c r="M97" s="568">
        <f t="shared" si="20"/>
        <v>8756.3445771184943</v>
      </c>
      <c r="N97" s="568">
        <f t="shared" si="20"/>
        <v>7672.1509445203837</v>
      </c>
      <c r="P97" s="539"/>
      <c r="Q97" s="159"/>
      <c r="R97" s="159"/>
      <c r="S97" s="532"/>
    </row>
    <row r="98" spans="2:19">
      <c r="B98" s="5"/>
      <c r="C98" s="4"/>
      <c r="D98" s="3"/>
      <c r="P98" s="540"/>
      <c r="Q98" s="159"/>
      <c r="R98" s="159"/>
      <c r="S98" s="159"/>
    </row>
    <row r="99" spans="2:19">
      <c r="B99" s="5"/>
      <c r="C99" s="4"/>
      <c r="D99" s="3"/>
      <c r="P99" s="540"/>
      <c r="Q99" s="159"/>
      <c r="R99" s="159"/>
      <c r="S99" s="159"/>
    </row>
    <row r="100" spans="2:19">
      <c r="B100" s="7" t="s">
        <v>910</v>
      </c>
      <c r="C100" s="4"/>
      <c r="D100" s="3"/>
      <c r="P100" s="540"/>
      <c r="Q100" s="159"/>
      <c r="R100" s="159"/>
      <c r="S100" s="159"/>
    </row>
    <row r="101" spans="2:19">
      <c r="B101" s="328" t="str">
        <f>B58</f>
        <v>Energie</v>
      </c>
      <c r="C101" s="328">
        <f t="shared" ref="C101:M101" si="21">C58/C$54</f>
        <v>1.16961920348413</v>
      </c>
      <c r="D101" s="328">
        <f t="shared" si="21"/>
        <v>1.285692512979989</v>
      </c>
      <c r="E101" s="328">
        <f t="shared" si="21"/>
        <v>1.0257956984807863</v>
      </c>
      <c r="F101" s="328">
        <f t="shared" si="21"/>
        <v>1.0765350914751797</v>
      </c>
      <c r="G101" s="328">
        <f t="shared" si="21"/>
        <v>1.19369216967776</v>
      </c>
      <c r="H101" s="328">
        <f t="shared" si="21"/>
        <v>0.88586681065972228</v>
      </c>
      <c r="I101" s="328">
        <f t="shared" si="21"/>
        <v>0.94315936675871592</v>
      </c>
      <c r="J101" s="328">
        <f t="shared" si="21"/>
        <v>0.91846467220818617</v>
      </c>
      <c r="K101" s="328">
        <f t="shared" si="21"/>
        <v>0.51020487951723004</v>
      </c>
      <c r="L101" s="328">
        <f t="shared" si="21"/>
        <v>0.46670738356264296</v>
      </c>
      <c r="M101" s="328">
        <f t="shared" si="21"/>
        <v>0.48805540366329697</v>
      </c>
      <c r="N101" s="328">
        <f t="shared" ref="N101" si="22">N58/N$54</f>
        <v>0.40441225812815923</v>
      </c>
      <c r="P101" s="538"/>
      <c r="Q101" s="159"/>
      <c r="R101" s="159"/>
      <c r="S101" s="537"/>
    </row>
    <row r="102" spans="2:19">
      <c r="B102" s="328" t="str">
        <f>B64</f>
        <v>Immobilisation</v>
      </c>
      <c r="C102" s="328">
        <f t="shared" ref="C102:M102" si="23">C64/C54</f>
        <v>0.24687498531713348</v>
      </c>
      <c r="D102" s="328">
        <f t="shared" si="23"/>
        <v>0.24480716992160392</v>
      </c>
      <c r="E102" s="328">
        <f t="shared" si="23"/>
        <v>0.24209342322433838</v>
      </c>
      <c r="F102" s="328">
        <f t="shared" si="23"/>
        <v>0.24215751465690041</v>
      </c>
      <c r="G102" s="328">
        <f t="shared" si="23"/>
        <v>0.24236465385547465</v>
      </c>
      <c r="H102" s="328">
        <f t="shared" si="23"/>
        <v>0.2394208568943953</v>
      </c>
      <c r="I102" s="328">
        <f t="shared" si="23"/>
        <v>0.23705983879857218</v>
      </c>
      <c r="J102" s="328">
        <f t="shared" si="23"/>
        <v>0.23331666489941288</v>
      </c>
      <c r="K102" s="328">
        <f t="shared" si="23"/>
        <v>0.23083048124259858</v>
      </c>
      <c r="L102" s="328">
        <f t="shared" si="23"/>
        <v>0.22386119000311483</v>
      </c>
      <c r="M102" s="328">
        <f t="shared" si="23"/>
        <v>0.22380190374476872</v>
      </c>
      <c r="N102" s="328">
        <f t="shared" ref="N102" si="24">N64/N54</f>
        <v>0.22399192312988023</v>
      </c>
      <c r="P102" s="538"/>
      <c r="Q102" s="159"/>
      <c r="R102" s="159"/>
      <c r="S102" s="537"/>
    </row>
    <row r="103" spans="2:19">
      <c r="B103" s="328" t="str">
        <f>B71</f>
        <v>Déplacements</v>
      </c>
      <c r="C103" s="328">
        <f t="shared" ref="C103:M103" si="25">C71/C54</f>
        <v>0.54128716101941343</v>
      </c>
      <c r="D103" s="328">
        <f t="shared" si="25"/>
        <v>0.5418814891748539</v>
      </c>
      <c r="E103" s="328">
        <f t="shared" si="25"/>
        <v>0.53745573079514464</v>
      </c>
      <c r="F103" s="328">
        <f t="shared" si="25"/>
        <v>0.55117799538499945</v>
      </c>
      <c r="G103" s="328">
        <f t="shared" si="25"/>
        <v>0.5491404175044573</v>
      </c>
      <c r="H103" s="328">
        <f t="shared" si="25"/>
        <v>0.5485359710112937</v>
      </c>
      <c r="I103" s="328">
        <f t="shared" si="25"/>
        <v>0.54401832148463558</v>
      </c>
      <c r="J103" s="328">
        <f t="shared" si="25"/>
        <v>0.54082079210678158</v>
      </c>
      <c r="K103" s="328">
        <f t="shared" si="25"/>
        <v>0.54274832396999872</v>
      </c>
      <c r="L103" s="328">
        <f t="shared" si="25"/>
        <v>0.53881445665831273</v>
      </c>
      <c r="M103" s="328">
        <f t="shared" si="25"/>
        <v>0.53852312951489134</v>
      </c>
      <c r="N103" s="328">
        <f t="shared" ref="N103" si="26">N71/N54</f>
        <v>0.53852312951489134</v>
      </c>
      <c r="P103" s="538"/>
      <c r="Q103" s="159"/>
      <c r="R103" s="159"/>
      <c r="S103" s="537"/>
    </row>
    <row r="104" spans="2:19">
      <c r="B104" s="328" t="str">
        <f>B76</f>
        <v>Alimentation</v>
      </c>
      <c r="C104" s="328">
        <f t="shared" ref="C104:M104" si="27">C76/C54</f>
        <v>0.23092194162714338</v>
      </c>
      <c r="D104" s="328">
        <f t="shared" si="27"/>
        <v>0.22821598774112134</v>
      </c>
      <c r="E104" s="328">
        <f t="shared" si="27"/>
        <v>0.22625810259159965</v>
      </c>
      <c r="F104" s="328">
        <f t="shared" si="27"/>
        <v>0.22205123381862832</v>
      </c>
      <c r="G104" s="328">
        <f t="shared" si="27"/>
        <v>0.22291144285965839</v>
      </c>
      <c r="H104" s="328">
        <f t="shared" si="27"/>
        <v>0.21977675069444444</v>
      </c>
      <c r="I104" s="328">
        <f t="shared" si="27"/>
        <v>0.1822532585433207</v>
      </c>
      <c r="J104" s="328">
        <f t="shared" si="27"/>
        <v>0.17138779012969513</v>
      </c>
      <c r="K104" s="328">
        <f t="shared" si="27"/>
        <v>0.17480303677932404</v>
      </c>
      <c r="L104" s="328">
        <f t="shared" si="27"/>
        <v>0.17572565991506045</v>
      </c>
      <c r="M104" s="328">
        <f t="shared" si="27"/>
        <v>0.15857570520136965</v>
      </c>
      <c r="N104" s="328">
        <f t="shared" ref="N104" si="28">N76/N54</f>
        <v>7.4062638186857974E-2</v>
      </c>
      <c r="P104" s="538"/>
      <c r="Q104" s="159"/>
      <c r="R104" s="159"/>
      <c r="S104" s="537"/>
    </row>
    <row r="105" spans="2:19">
      <c r="B105" s="328" t="str">
        <f>B82</f>
        <v>Déchets</v>
      </c>
      <c r="C105" s="328">
        <f t="shared" ref="C105:M105" si="29">C82/C54</f>
        <v>9.9510273622765415E-3</v>
      </c>
      <c r="D105" s="328">
        <f t="shared" si="29"/>
        <v>2.2367418097298409E-2</v>
      </c>
      <c r="E105" s="328">
        <f t="shared" si="29"/>
        <v>1.9949336922908574E-2</v>
      </c>
      <c r="F105" s="328">
        <f t="shared" si="29"/>
        <v>2.1571325133435234E-2</v>
      </c>
      <c r="G105" s="328">
        <f t="shared" si="29"/>
        <v>1.9457810052071544E-2</v>
      </c>
      <c r="H105" s="328">
        <f t="shared" si="29"/>
        <v>1.8684394662698414E-2</v>
      </c>
      <c r="I105" s="328">
        <f t="shared" si="29"/>
        <v>2.3942500838305628E-2</v>
      </c>
      <c r="J105" s="328">
        <f t="shared" si="29"/>
        <v>2.4119565085781655E-2</v>
      </c>
      <c r="K105" s="328">
        <f t="shared" si="29"/>
        <v>2.7101765051358518E-2</v>
      </c>
      <c r="L105" s="328">
        <f t="shared" si="29"/>
        <v>2.2980401207121852E-2</v>
      </c>
      <c r="M105" s="328">
        <f t="shared" si="29"/>
        <v>1.8786329279308657E-2</v>
      </c>
      <c r="N105" s="328">
        <f t="shared" ref="N105" si="30">N82/N54</f>
        <v>9.972213851296265E-3</v>
      </c>
      <c r="P105" s="538"/>
      <c r="Q105" s="159"/>
      <c r="R105" s="159"/>
      <c r="S105" s="537"/>
    </row>
    <row r="106" spans="2:19">
      <c r="C106" s="327">
        <f>SUM(C101:C105)</f>
        <v>2.1986543188100969</v>
      </c>
      <c r="D106" s="327">
        <f t="shared" ref="D106:M106" si="31">SUM(D101:D105)</f>
        <v>2.3229645779148669</v>
      </c>
      <c r="E106" s="327">
        <f t="shared" si="31"/>
        <v>2.0515522920147777</v>
      </c>
      <c r="F106" s="327">
        <f t="shared" si="31"/>
        <v>2.1134931604691429</v>
      </c>
      <c r="G106" s="327">
        <f t="shared" si="31"/>
        <v>2.2275664939494222</v>
      </c>
      <c r="H106" s="327">
        <f t="shared" si="31"/>
        <v>1.9122847839225541</v>
      </c>
      <c r="I106" s="327">
        <f t="shared" si="31"/>
        <v>1.9304332864235503</v>
      </c>
      <c r="J106" s="327">
        <f t="shared" si="31"/>
        <v>1.8881094844298576</v>
      </c>
      <c r="K106" s="327">
        <f t="shared" si="31"/>
        <v>1.4856884865605098</v>
      </c>
      <c r="L106" s="327">
        <f t="shared" si="31"/>
        <v>1.4280890913462529</v>
      </c>
      <c r="M106" s="327">
        <f t="shared" si="31"/>
        <v>1.4277424714036353</v>
      </c>
      <c r="N106" s="327">
        <f t="shared" ref="N106" si="32">SUM(N101:N105)</f>
        <v>1.250962162811085</v>
      </c>
      <c r="P106" s="539"/>
      <c r="Q106" s="159"/>
      <c r="R106" s="159"/>
      <c r="S106" s="532"/>
    </row>
    <row r="107" spans="2:19">
      <c r="B107" s="5"/>
      <c r="C107" s="326"/>
      <c r="D107" s="3"/>
      <c r="P107" s="541"/>
      <c r="Q107" s="159"/>
      <c r="R107" s="159"/>
      <c r="S107" s="159"/>
    </row>
    <row r="108" spans="2:19">
      <c r="B108" s="7" t="s">
        <v>935</v>
      </c>
      <c r="C108" s="4"/>
      <c r="D108" s="3"/>
      <c r="G108" s="7" t="s">
        <v>936</v>
      </c>
      <c r="H108" s="4"/>
      <c r="I108" s="3"/>
      <c r="L108" s="7" t="s">
        <v>937</v>
      </c>
      <c r="M108" s="4"/>
      <c r="N108" s="3"/>
      <c r="P108" s="542"/>
    </row>
    <row r="109" spans="2:19">
      <c r="B109" s="370"/>
      <c r="C109" s="371">
        <v>2015</v>
      </c>
      <c r="D109" s="601">
        <v>2019</v>
      </c>
      <c r="E109" s="359" t="s">
        <v>930</v>
      </c>
      <c r="G109" s="370"/>
      <c r="H109" s="371">
        <v>2015</v>
      </c>
      <c r="I109" s="601">
        <v>2019</v>
      </c>
      <c r="J109" s="359" t="s">
        <v>930</v>
      </c>
      <c r="L109" s="370"/>
      <c r="M109" s="371">
        <v>2015</v>
      </c>
      <c r="N109" s="601">
        <v>2019</v>
      </c>
      <c r="O109" s="359" t="s">
        <v>930</v>
      </c>
      <c r="P109" s="542"/>
    </row>
    <row r="110" spans="2:19">
      <c r="B110" s="322" t="s">
        <v>905</v>
      </c>
      <c r="C110" s="371">
        <f>I54</f>
        <v>5794</v>
      </c>
      <c r="D110" s="601">
        <f>M54</f>
        <v>6133</v>
      </c>
      <c r="E110" s="372">
        <f>(D110-C110)/C110</f>
        <v>5.8508802209181913E-2</v>
      </c>
      <c r="G110" s="322" t="s">
        <v>938</v>
      </c>
      <c r="H110" s="371">
        <f>I55</f>
        <v>1386</v>
      </c>
      <c r="I110" s="601">
        <f>M55</f>
        <v>1419</v>
      </c>
      <c r="J110" s="372">
        <f>(I110-H110)/H110</f>
        <v>2.3809523809523808E-2</v>
      </c>
      <c r="L110" s="322" t="s">
        <v>939</v>
      </c>
      <c r="M110" s="371">
        <f>SUM(I54:I55)</f>
        <v>7180</v>
      </c>
      <c r="N110" s="601">
        <f>SUM(M54:M55)</f>
        <v>7552</v>
      </c>
      <c r="O110" s="372">
        <f>(N110-M110)/M110</f>
        <v>5.1810584958217269E-2</v>
      </c>
    </row>
    <row r="111" spans="2:19">
      <c r="B111" s="322" t="s">
        <v>919</v>
      </c>
      <c r="C111" s="371">
        <f>I97</f>
        <v>11184.930461538048</v>
      </c>
      <c r="D111" s="601">
        <f>M97</f>
        <v>8756.3445771184943</v>
      </c>
      <c r="E111" s="372">
        <f>(D111-C111)/C111</f>
        <v>-0.21713017284915664</v>
      </c>
      <c r="G111" s="322" t="s">
        <v>919</v>
      </c>
      <c r="H111" s="371">
        <f>I97</f>
        <v>11184.930461538048</v>
      </c>
      <c r="I111" s="601">
        <f>M97</f>
        <v>8756.3445771184943</v>
      </c>
      <c r="J111" s="372">
        <f>(I111-H111)/H111</f>
        <v>-0.21713017284915664</v>
      </c>
      <c r="L111" s="322" t="s">
        <v>919</v>
      </c>
      <c r="M111" s="371">
        <f>I97</f>
        <v>11184.930461538048</v>
      </c>
      <c r="N111" s="601">
        <f>M97</f>
        <v>8756.3445771184943</v>
      </c>
      <c r="O111" s="372">
        <f>(N111-M111)/M111</f>
        <v>-0.21713017284915664</v>
      </c>
    </row>
    <row r="112" spans="2:19">
      <c r="B112" s="322" t="s">
        <v>920</v>
      </c>
      <c r="C112" s="373">
        <f>C111/C110</f>
        <v>1.9304332864235498</v>
      </c>
      <c r="D112" s="602">
        <f>D111/D110</f>
        <v>1.4277424714036351</v>
      </c>
      <c r="E112" s="372">
        <f>(D112-C112)/C112</f>
        <v>-0.26040310149812712</v>
      </c>
      <c r="G112" s="322" t="s">
        <v>940</v>
      </c>
      <c r="H112" s="373">
        <f>H111/H110</f>
        <v>8.0699353979350992</v>
      </c>
      <c r="I112" s="602">
        <f>I111/I110</f>
        <v>6.1707854666092281</v>
      </c>
      <c r="J112" s="372">
        <f>(I112-H112)/H112</f>
        <v>-0.23533644789917618</v>
      </c>
      <c r="L112" s="322" t="s">
        <v>941</v>
      </c>
      <c r="M112" s="373">
        <f>M111/M110</f>
        <v>1.55778975787438</v>
      </c>
      <c r="N112" s="602">
        <f>N111/N110</f>
        <v>1.1594735933684446</v>
      </c>
      <c r="O112" s="372">
        <f>(N112-M112)/M112</f>
        <v>-0.25569314632639639</v>
      </c>
    </row>
    <row r="113" spans="1:25" ht="7.95" customHeight="1">
      <c r="B113" s="322"/>
      <c r="C113" s="373"/>
      <c r="D113" s="602"/>
      <c r="E113" s="372"/>
      <c r="G113" s="322"/>
      <c r="H113" s="373"/>
      <c r="I113" s="602"/>
      <c r="J113" s="372"/>
      <c r="L113" s="322"/>
      <c r="M113" s="373"/>
      <c r="N113" s="602"/>
      <c r="O113" s="372"/>
    </row>
    <row r="114" spans="1:25">
      <c r="B114" s="322" t="s">
        <v>933</v>
      </c>
      <c r="C114" s="374">
        <f>('Données Energie'!M84+'Données Energie'!M252+'Données Energie'!M316)/1000/C110</f>
        <v>5.4630735243355195</v>
      </c>
      <c r="D114" s="602">
        <f>('Données Energie'!Q84+'Données Energie'!Q252+'Données Energie'!Q316)/1000/D110</f>
        <v>4.9399663802380562</v>
      </c>
      <c r="E114" s="372">
        <f>(D114-C114)/C114</f>
        <v>-9.5753268149743498E-2</v>
      </c>
      <c r="G114" s="322" t="s">
        <v>942</v>
      </c>
      <c r="H114" s="374">
        <f>('Données Energie'!M84+'Données Energie'!M252+'Données Energie'!M316)/1000/I110</f>
        <v>22.30658773784355</v>
      </c>
      <c r="I114" s="602">
        <f>('Données Energie'!Q84+'Données Energie'!Q252+'Données Energie'!Q316)/1000/I110</f>
        <v>21.350820162085977</v>
      </c>
      <c r="J114" s="372">
        <f t="shared" ref="J114:J115" si="33">(I114-H114)/H114</f>
        <v>-4.2846874967617528E-2</v>
      </c>
      <c r="L114" s="322" t="s">
        <v>943</v>
      </c>
      <c r="M114" s="374">
        <f>('Données Energie'!M84+'Données Energie'!M252+'Données Energie'!M316)/1000/M110</f>
        <v>4.4085025069637878</v>
      </c>
      <c r="N114" s="602">
        <f>('Données Energie'!Q84+'Données Energie'!Q252+'Données Energie'!Q316)/1000/N110</f>
        <v>4.0117603032309326</v>
      </c>
      <c r="O114" s="372">
        <f t="shared" ref="O114:O115" si="34">(N114-M114)/M114</f>
        <v>-8.999477784262358E-2</v>
      </c>
    </row>
    <row r="115" spans="1:25">
      <c r="B115" s="322" t="s">
        <v>921</v>
      </c>
      <c r="C115" s="371">
        <f>I58</f>
        <v>5464.6653710000001</v>
      </c>
      <c r="D115" s="601">
        <f>M58</f>
        <v>2993.2437906670002</v>
      </c>
      <c r="E115" s="372">
        <f>(D115-C115)/C115</f>
        <v>-0.45225487976782464</v>
      </c>
      <c r="G115" s="322" t="s">
        <v>921</v>
      </c>
      <c r="H115" s="371">
        <f>I58</f>
        <v>5464.6653710000001</v>
      </c>
      <c r="I115" s="601">
        <f>M58</f>
        <v>2993.2437906670002</v>
      </c>
      <c r="J115" s="372">
        <f t="shared" si="33"/>
        <v>-0.45225487976782464</v>
      </c>
      <c r="L115" s="322" t="s">
        <v>921</v>
      </c>
      <c r="M115" s="371">
        <f>I58</f>
        <v>5464.6653710000001</v>
      </c>
      <c r="N115" s="601">
        <f>M58</f>
        <v>2993.2437906670002</v>
      </c>
      <c r="O115" s="372">
        <f t="shared" si="34"/>
        <v>-0.45225487976782464</v>
      </c>
    </row>
    <row r="116" spans="1:25">
      <c r="B116" s="5"/>
      <c r="C116" s="4"/>
      <c r="D116" s="3"/>
    </row>
    <row r="117" spans="1:25" ht="15" thickBot="1">
      <c r="B117" s="5"/>
      <c r="C117" s="4"/>
      <c r="D117" s="3"/>
    </row>
    <row r="118" spans="1:25">
      <c r="B118" s="95"/>
      <c r="C118" s="4"/>
      <c r="D118" s="3"/>
      <c r="H118" s="604"/>
      <c r="I118" s="604"/>
      <c r="J118" s="604"/>
      <c r="K118" s="604"/>
      <c r="L118" s="604"/>
      <c r="M118" s="604"/>
      <c r="N118" s="604"/>
      <c r="O118" s="604"/>
      <c r="P118" s="604"/>
      <c r="Q118" s="604"/>
      <c r="R118" s="604"/>
      <c r="S118" s="604"/>
      <c r="T118" s="604"/>
      <c r="U118" s="604"/>
      <c r="V118" s="604"/>
      <c r="W118" s="604"/>
      <c r="X118" s="604"/>
      <c r="Y118" s="604"/>
    </row>
    <row r="119" spans="1:25" ht="14.4" customHeight="1">
      <c r="B119" s="96"/>
      <c r="C119" s="4" t="s">
        <v>909</v>
      </c>
      <c r="D119" s="3"/>
      <c r="H119" s="604" t="s">
        <v>817</v>
      </c>
      <c r="I119" s="604"/>
      <c r="J119" s="604"/>
      <c r="K119" s="604"/>
      <c r="L119" s="604"/>
      <c r="M119" s="604"/>
      <c r="N119" s="604"/>
      <c r="O119" s="604"/>
      <c r="P119" s="604"/>
      <c r="Q119" s="604"/>
      <c r="R119" s="604"/>
      <c r="S119" s="604"/>
      <c r="T119" s="604"/>
      <c r="U119" s="604"/>
      <c r="V119" s="604"/>
      <c r="W119" s="604"/>
      <c r="X119" s="604"/>
      <c r="Y119" s="604"/>
    </row>
    <row r="120" spans="1:25" ht="15" thickBot="1">
      <c r="B120" s="97"/>
      <c r="C120" s="4"/>
      <c r="D120" s="3"/>
    </row>
    <row r="121" spans="1:25">
      <c r="B121" s="5"/>
      <c r="C121" s="4"/>
      <c r="D121" s="3"/>
    </row>
    <row r="122" spans="1:25">
      <c r="B122" s="5"/>
      <c r="C122" s="4"/>
      <c r="D122" s="3"/>
    </row>
    <row r="125" spans="1:25" s="563" customFormat="1" ht="13.95" customHeight="1">
      <c r="A125" s="561"/>
      <c r="B125" s="562"/>
      <c r="C125" s="561"/>
      <c r="D125" s="561"/>
      <c r="E125" s="561"/>
      <c r="F125" s="561"/>
      <c r="G125" s="561"/>
      <c r="H125" s="561"/>
      <c r="P125" s="564"/>
    </row>
    <row r="127" spans="1:25">
      <c r="A127" s="540"/>
      <c r="B127" s="546"/>
      <c r="C127" s="540"/>
      <c r="D127" s="540"/>
      <c r="E127" s="540"/>
      <c r="F127" s="540"/>
      <c r="G127" s="540"/>
      <c r="H127" s="540"/>
      <c r="I127" s="540"/>
    </row>
    <row r="128" spans="1:25">
      <c r="A128" s="540"/>
      <c r="B128" s="546"/>
      <c r="C128" s="540"/>
      <c r="D128" s="540"/>
      <c r="E128" s="540"/>
      <c r="F128" s="540"/>
      <c r="G128" s="540"/>
      <c r="H128" s="540"/>
      <c r="I128" s="540"/>
    </row>
    <row r="129" spans="1:9">
      <c r="A129" s="540"/>
      <c r="B129" s="378"/>
      <c r="C129" s="547"/>
      <c r="D129" s="548"/>
      <c r="E129" s="540"/>
      <c r="F129" s="540"/>
      <c r="G129" s="540"/>
      <c r="H129" s="540"/>
      <c r="I129" s="540"/>
    </row>
    <row r="130" spans="1:9">
      <c r="A130" s="540"/>
      <c r="B130" s="543"/>
      <c r="C130" s="544"/>
      <c r="D130" s="549"/>
      <c r="E130" s="540"/>
      <c r="F130" s="550"/>
      <c r="G130" s="551"/>
      <c r="H130" s="540"/>
      <c r="I130" s="540"/>
    </row>
    <row r="131" spans="1:9">
      <c r="A131" s="540"/>
      <c r="B131" s="543"/>
      <c r="C131" s="544"/>
      <c r="D131" s="549"/>
      <c r="E131" s="540"/>
      <c r="F131" s="550"/>
      <c r="G131" s="551"/>
      <c r="H131" s="540"/>
      <c r="I131" s="540"/>
    </row>
    <row r="132" spans="1:9">
      <c r="A132" s="540"/>
      <c r="B132" s="543"/>
      <c r="C132" s="544"/>
      <c r="D132" s="549"/>
      <c r="E132" s="540"/>
      <c r="F132" s="550"/>
      <c r="G132" s="551"/>
      <c r="H132" s="540"/>
      <c r="I132" s="540"/>
    </row>
    <row r="133" spans="1:9">
      <c r="A133" s="540"/>
      <c r="B133" s="378"/>
      <c r="C133" s="552"/>
      <c r="D133" s="548"/>
      <c r="E133" s="540"/>
      <c r="F133" s="540"/>
      <c r="G133" s="551"/>
      <c r="H133" s="540"/>
      <c r="I133" s="540"/>
    </row>
    <row r="134" spans="1:9">
      <c r="A134" s="540"/>
      <c r="B134" s="543"/>
      <c r="C134" s="544"/>
      <c r="D134" s="549"/>
      <c r="E134" s="540"/>
      <c r="F134" s="550"/>
      <c r="G134" s="551"/>
      <c r="H134" s="540"/>
      <c r="I134" s="540"/>
    </row>
    <row r="135" spans="1:9">
      <c r="A135" s="540"/>
      <c r="B135" s="543"/>
      <c r="C135" s="544"/>
      <c r="D135" s="549"/>
      <c r="E135" s="540"/>
      <c r="F135" s="550"/>
      <c r="G135" s="551"/>
      <c r="H135" s="540"/>
      <c r="I135" s="540"/>
    </row>
    <row r="136" spans="1:9">
      <c r="A136" s="540"/>
      <c r="B136" s="543"/>
      <c r="C136" s="544"/>
      <c r="D136" s="549"/>
      <c r="E136" s="540"/>
      <c r="F136" s="550"/>
      <c r="G136" s="551"/>
      <c r="H136" s="540"/>
      <c r="I136" s="540"/>
    </row>
    <row r="137" spans="1:9">
      <c r="A137" s="540"/>
      <c r="B137" s="543"/>
      <c r="C137" s="544"/>
      <c r="D137" s="549"/>
      <c r="E137" s="540"/>
      <c r="F137" s="550"/>
      <c r="G137" s="551"/>
      <c r="H137" s="540"/>
      <c r="I137" s="540"/>
    </row>
    <row r="138" spans="1:9">
      <c r="A138" s="540"/>
      <c r="B138" s="543"/>
      <c r="C138" s="544"/>
      <c r="D138" s="549"/>
      <c r="E138" s="540"/>
      <c r="F138" s="550"/>
      <c r="G138" s="551"/>
      <c r="H138" s="540"/>
      <c r="I138" s="540"/>
    </row>
    <row r="139" spans="1:9">
      <c r="A139" s="540"/>
      <c r="B139" s="378"/>
      <c r="C139" s="552"/>
      <c r="D139" s="548"/>
      <c r="E139" s="540"/>
      <c r="F139" s="540"/>
      <c r="G139" s="551"/>
      <c r="H139" s="540"/>
      <c r="I139" s="540"/>
    </row>
    <row r="140" spans="1:9">
      <c r="A140" s="540"/>
      <c r="B140" s="543"/>
      <c r="C140" s="553"/>
      <c r="D140" s="549"/>
      <c r="E140" s="540"/>
      <c r="F140" s="550"/>
      <c r="G140" s="551"/>
      <c r="H140" s="540"/>
      <c r="I140" s="540"/>
    </row>
    <row r="141" spans="1:9">
      <c r="A141" s="540"/>
      <c r="B141" s="543"/>
      <c r="C141" s="553"/>
      <c r="D141" s="549"/>
      <c r="E141" s="540"/>
      <c r="F141" s="550"/>
      <c r="G141" s="551"/>
      <c r="H141" s="540"/>
      <c r="I141" s="540"/>
    </row>
    <row r="142" spans="1:9">
      <c r="A142" s="540"/>
      <c r="B142" s="543"/>
      <c r="C142" s="553"/>
      <c r="D142" s="549"/>
      <c r="E142" s="540"/>
      <c r="F142" s="550"/>
      <c r="G142" s="551"/>
      <c r="H142" s="540"/>
      <c r="I142" s="540"/>
    </row>
    <row r="143" spans="1:9">
      <c r="A143" s="540"/>
      <c r="B143" s="379"/>
      <c r="C143" s="554"/>
      <c r="D143" s="549"/>
      <c r="E143" s="540"/>
      <c r="F143" s="550"/>
      <c r="G143" s="551"/>
      <c r="H143" s="540"/>
      <c r="I143" s="540"/>
    </row>
    <row r="144" spans="1:9">
      <c r="A144" s="540"/>
      <c r="B144" s="378"/>
      <c r="C144" s="552"/>
      <c r="D144" s="548"/>
      <c r="E144" s="540"/>
      <c r="F144" s="540"/>
      <c r="G144" s="551"/>
      <c r="H144" s="540"/>
      <c r="I144" s="540"/>
    </row>
    <row r="145" spans="1:9">
      <c r="A145" s="540"/>
      <c r="B145" s="379"/>
      <c r="C145" s="553"/>
      <c r="D145" s="549"/>
      <c r="E145" s="540"/>
      <c r="F145" s="550"/>
      <c r="G145" s="551"/>
      <c r="H145" s="540"/>
      <c r="I145" s="540"/>
    </row>
    <row r="146" spans="1:9">
      <c r="A146" s="540"/>
      <c r="B146" s="379"/>
      <c r="C146" s="553"/>
      <c r="D146" s="549"/>
      <c r="E146" s="540"/>
      <c r="F146" s="550"/>
      <c r="G146" s="551"/>
      <c r="H146" s="540"/>
      <c r="I146" s="540"/>
    </row>
    <row r="147" spans="1:9">
      <c r="A147" s="540"/>
      <c r="B147" s="379"/>
      <c r="C147" s="553"/>
      <c r="D147" s="549"/>
      <c r="E147" s="540"/>
      <c r="F147" s="550"/>
      <c r="G147" s="551"/>
      <c r="H147" s="540"/>
      <c r="I147" s="540"/>
    </row>
    <row r="148" spans="1:9">
      <c r="A148" s="540"/>
      <c r="B148" s="379"/>
      <c r="C148" s="553"/>
      <c r="D148" s="549"/>
      <c r="E148" s="540"/>
      <c r="F148" s="550"/>
      <c r="G148" s="551"/>
      <c r="H148" s="540"/>
      <c r="I148" s="540"/>
    </row>
    <row r="149" spans="1:9">
      <c r="A149" s="540"/>
      <c r="B149" s="379"/>
      <c r="C149" s="553"/>
      <c r="D149" s="549"/>
      <c r="E149" s="540"/>
      <c r="F149" s="550"/>
      <c r="G149" s="551"/>
      <c r="H149" s="540"/>
      <c r="I149" s="540"/>
    </row>
    <row r="150" spans="1:9">
      <c r="A150" s="540"/>
      <c r="B150" s="555"/>
      <c r="C150" s="552"/>
      <c r="D150" s="548"/>
      <c r="E150" s="540"/>
      <c r="F150" s="540"/>
      <c r="G150" s="551"/>
      <c r="H150" s="540"/>
      <c r="I150" s="540"/>
    </row>
    <row r="151" spans="1:9">
      <c r="A151" s="540"/>
      <c r="B151" s="543"/>
      <c r="C151" s="544"/>
      <c r="D151" s="549"/>
      <c r="E151" s="540"/>
      <c r="F151" s="550"/>
      <c r="G151" s="551"/>
      <c r="H151" s="540"/>
      <c r="I151" s="540"/>
    </row>
    <row r="152" spans="1:9">
      <c r="A152" s="540"/>
      <c r="B152" s="543"/>
      <c r="C152" s="544"/>
      <c r="D152" s="549"/>
      <c r="E152" s="540"/>
      <c r="F152" s="550"/>
      <c r="G152" s="551"/>
      <c r="H152" s="540"/>
      <c r="I152" s="540"/>
    </row>
    <row r="153" spans="1:9">
      <c r="A153" s="540"/>
      <c r="B153" s="543"/>
      <c r="C153" s="544"/>
      <c r="D153" s="549"/>
      <c r="E153" s="540"/>
      <c r="F153" s="550"/>
      <c r="G153" s="551"/>
      <c r="H153" s="540"/>
      <c r="I153" s="540"/>
    </row>
    <row r="154" spans="1:9">
      <c r="A154" s="540"/>
      <c r="B154" s="543"/>
      <c r="C154" s="544"/>
      <c r="D154" s="549"/>
      <c r="E154" s="540"/>
      <c r="F154" s="550"/>
      <c r="G154" s="551"/>
      <c r="H154" s="540"/>
      <c r="I154" s="540"/>
    </row>
    <row r="155" spans="1:9">
      <c r="A155" s="540"/>
      <c r="B155" s="543"/>
      <c r="C155" s="545"/>
      <c r="D155" s="549"/>
      <c r="E155" s="540"/>
      <c r="F155" s="550"/>
      <c r="G155" s="551"/>
      <c r="H155" s="540"/>
      <c r="I155" s="540"/>
    </row>
    <row r="156" spans="1:9">
      <c r="A156" s="540"/>
      <c r="B156" s="543"/>
      <c r="C156" s="544"/>
      <c r="D156" s="549"/>
      <c r="E156" s="540"/>
      <c r="F156" s="550"/>
      <c r="G156" s="551"/>
      <c r="H156" s="540"/>
      <c r="I156" s="540"/>
    </row>
    <row r="157" spans="1:9">
      <c r="A157" s="540"/>
      <c r="B157" s="543"/>
      <c r="C157" s="544"/>
      <c r="D157" s="549"/>
      <c r="E157" s="540"/>
      <c r="F157" s="550"/>
      <c r="G157" s="551"/>
      <c r="H157" s="540"/>
      <c r="I157" s="540"/>
    </row>
    <row r="158" spans="1:9">
      <c r="A158" s="540"/>
      <c r="B158" s="543"/>
      <c r="C158" s="544"/>
      <c r="D158" s="549"/>
      <c r="E158" s="540"/>
      <c r="F158" s="550"/>
      <c r="G158" s="551"/>
      <c r="H158" s="540"/>
      <c r="I158" s="540"/>
    </row>
    <row r="159" spans="1:9">
      <c r="A159" s="540"/>
      <c r="B159" s="543"/>
      <c r="C159" s="544"/>
      <c r="D159" s="549"/>
      <c r="E159" s="540"/>
      <c r="F159" s="550"/>
      <c r="G159" s="551"/>
      <c r="H159" s="540"/>
      <c r="I159" s="540"/>
    </row>
    <row r="160" spans="1:9">
      <c r="A160" s="540"/>
      <c r="B160" s="543"/>
      <c r="C160" s="544"/>
      <c r="D160" s="549"/>
      <c r="E160" s="540"/>
      <c r="F160" s="550"/>
      <c r="G160" s="551"/>
      <c r="H160" s="540"/>
      <c r="I160" s="540"/>
    </row>
    <row r="161" spans="1:9">
      <c r="A161" s="540"/>
      <c r="B161" s="556"/>
      <c r="C161" s="557"/>
      <c r="D161" s="558"/>
      <c r="E161" s="540"/>
      <c r="F161" s="540"/>
      <c r="G161" s="551"/>
      <c r="H161" s="559"/>
      <c r="I161" s="540"/>
    </row>
    <row r="162" spans="1:9">
      <c r="A162" s="540"/>
      <c r="B162" s="546"/>
      <c r="C162" s="540"/>
      <c r="D162" s="540"/>
      <c r="E162" s="540"/>
      <c r="F162" s="540"/>
      <c r="G162" s="540"/>
      <c r="H162" s="540"/>
      <c r="I162" s="540"/>
    </row>
    <row r="163" spans="1:9">
      <c r="A163" s="540"/>
      <c r="B163" s="546"/>
      <c r="C163" s="540"/>
      <c r="D163" s="540"/>
      <c r="E163" s="540"/>
      <c r="F163" s="540"/>
      <c r="G163" s="540"/>
      <c r="H163" s="540"/>
      <c r="I163" s="540"/>
    </row>
    <row r="164" spans="1:9">
      <c r="A164" s="540"/>
      <c r="B164" s="560"/>
      <c r="C164" s="540"/>
      <c r="D164" s="540"/>
      <c r="E164" s="540"/>
      <c r="F164" s="540"/>
      <c r="G164" s="540"/>
      <c r="H164" s="540"/>
      <c r="I164" s="540"/>
    </row>
    <row r="165" spans="1:9">
      <c r="A165" s="540"/>
      <c r="B165" s="378"/>
      <c r="C165" s="540"/>
      <c r="D165" s="540"/>
      <c r="E165" s="540"/>
      <c r="F165" s="540"/>
      <c r="G165" s="540"/>
      <c r="H165" s="540"/>
      <c r="I165" s="540"/>
    </row>
    <row r="166" spans="1:9">
      <c r="A166" s="540"/>
      <c r="B166" s="378"/>
      <c r="C166" s="540"/>
      <c r="D166" s="540"/>
      <c r="E166" s="540"/>
      <c r="F166" s="540"/>
      <c r="G166" s="540"/>
      <c r="H166" s="540"/>
      <c r="I166" s="540"/>
    </row>
    <row r="167" spans="1:9">
      <c r="A167" s="540"/>
      <c r="B167" s="378"/>
      <c r="C167" s="540"/>
      <c r="D167" s="540"/>
      <c r="E167" s="540"/>
      <c r="F167" s="540"/>
      <c r="G167" s="540"/>
      <c r="H167" s="540"/>
      <c r="I167" s="540"/>
    </row>
    <row r="168" spans="1:9">
      <c r="A168" s="540"/>
      <c r="B168" s="378"/>
      <c r="C168" s="540"/>
      <c r="D168" s="540"/>
      <c r="E168" s="540"/>
      <c r="F168" s="540"/>
      <c r="G168" s="540"/>
      <c r="H168" s="540"/>
      <c r="I168" s="540"/>
    </row>
    <row r="169" spans="1:9">
      <c r="A169" s="540"/>
      <c r="B169" s="546"/>
      <c r="C169" s="540"/>
      <c r="D169" s="540"/>
      <c r="E169" s="540"/>
      <c r="F169" s="540"/>
      <c r="G169" s="540"/>
      <c r="H169" s="540"/>
      <c r="I169" s="540"/>
    </row>
  </sheetData>
  <mergeCells count="3">
    <mergeCell ref="H119:Y119"/>
    <mergeCell ref="H118:Y118"/>
    <mergeCell ref="G7:H7"/>
  </mergeCells>
  <conditionalFormatting sqref="P82 P58 P64 P71 P76">
    <cfRule type="colorScale" priority="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101:P105">
    <cfRule type="colorScale" priority="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82 S58 S64 S71 S76">
    <cfRule type="colorScale" priority="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01:S105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130:C132 C134:C138 C140:C142 C145:C149 C151:C16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{6D49A60A-ED67-2C4E-8091-190B3B7566FD}</x14:id>
        </ext>
      </extLst>
    </cfRule>
  </conditionalFormatting>
  <conditionalFormatting sqref="C10:C14 C16:C21 C23:C26 C28:C32 C34:C47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{1EC7FABC-1E5A-DF41-84CC-F377D3FCAB9E}</x14:id>
        </ext>
      </extLst>
    </cfRule>
  </conditionalFormatting>
  <dataValidations count="1">
    <dataValidation type="list" allowBlank="1" showInputMessage="1" showErrorMessage="1" sqref="C6" xr:uid="{16F2FDAD-53E8-4BD1-AF90-F6DE3256274C}">
      <formula1>$C$57:$N$57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49A60A-ED67-2C4E-8091-190B3B7566F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C130:C132 C134:C138 C140:C142 C145:C149 C151:C160</xm:sqref>
        </x14:conditionalFormatting>
        <x14:conditionalFormatting xmlns:xm="http://schemas.microsoft.com/office/excel/2006/main">
          <x14:cfRule type="dataBar" id="{1EC7FABC-1E5A-DF41-84CC-F377D3FCAB9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C10:C14 C16:C21 C23:C26 C28:C32 C34:C47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EA484-0258-4F4E-B74D-DF1AC21FBEFC}">
  <sheetPr>
    <tabColor theme="4"/>
  </sheetPr>
  <dimension ref="A1:AC452"/>
  <sheetViews>
    <sheetView showGridLines="0" showZeros="0" topLeftCell="A13" zoomScale="62" zoomScaleNormal="85" workbookViewId="0">
      <pane xSplit="6" ySplit="26" topLeftCell="G412" activePane="bottomRight" state="frozen"/>
      <selection activeCell="A13" sqref="A13"/>
      <selection pane="topRight" activeCell="G13" sqref="G13"/>
      <selection pane="bottomLeft" activeCell="A39" sqref="A39"/>
      <selection pane="bottomRight" activeCell="R422" sqref="R422"/>
    </sheetView>
  </sheetViews>
  <sheetFormatPr baseColWidth="10" defaultColWidth="11.44140625" defaultRowHeight="13.2" outlineLevelRow="2"/>
  <cols>
    <col min="1" max="1" width="4.5546875" style="31" customWidth="1"/>
    <col min="2" max="2" width="27.33203125" style="31" customWidth="1"/>
    <col min="3" max="3" width="19.44140625" style="31" bestFit="1" customWidth="1"/>
    <col min="4" max="4" width="26.44140625" style="31" customWidth="1"/>
    <col min="5" max="5" width="14.33203125" style="31" customWidth="1"/>
    <col min="6" max="6" width="22" style="31" customWidth="1"/>
    <col min="7" max="17" width="13.77734375" style="31" customWidth="1"/>
    <col min="18" max="18" width="13.77734375" style="280" customWidth="1"/>
    <col min="19" max="19" width="11.44140625" style="31"/>
    <col min="20" max="20" width="17" style="31" customWidth="1"/>
    <col min="21" max="247" width="11.44140625" style="31"/>
    <col min="248" max="248" width="13.44140625" style="31" customWidth="1"/>
    <col min="249" max="249" width="21.6640625" style="31" customWidth="1"/>
    <col min="250" max="250" width="20.33203125" style="31" customWidth="1"/>
    <col min="251" max="251" width="26.44140625" style="31" customWidth="1"/>
    <col min="252" max="252" width="14.33203125" style="31" customWidth="1"/>
    <col min="253" max="253" width="30" style="31" customWidth="1"/>
    <col min="254" max="254" width="12.44140625" style="31" customWidth="1"/>
    <col min="255" max="256" width="14.44140625" style="31" bestFit="1" customWidth="1"/>
    <col min="257" max="257" width="12.109375" style="31" customWidth="1"/>
    <col min="258" max="261" width="14.44140625" style="31" bestFit="1" customWidth="1"/>
    <col min="262" max="264" width="16.6640625" style="31" bestFit="1" customWidth="1"/>
    <col min="265" max="503" width="11.44140625" style="31"/>
    <col min="504" max="504" width="13.44140625" style="31" customWidth="1"/>
    <col min="505" max="505" width="21.6640625" style="31" customWidth="1"/>
    <col min="506" max="506" width="20.33203125" style="31" customWidth="1"/>
    <col min="507" max="507" width="26.44140625" style="31" customWidth="1"/>
    <col min="508" max="508" width="14.33203125" style="31" customWidth="1"/>
    <col min="509" max="509" width="30" style="31" customWidth="1"/>
    <col min="510" max="510" width="12.44140625" style="31" customWidth="1"/>
    <col min="511" max="512" width="14.44140625" style="31" bestFit="1" customWidth="1"/>
    <col min="513" max="513" width="12.109375" style="31" customWidth="1"/>
    <col min="514" max="517" width="14.44140625" style="31" bestFit="1" customWidth="1"/>
    <col min="518" max="520" width="16.6640625" style="31" bestFit="1" customWidth="1"/>
    <col min="521" max="759" width="11.44140625" style="31"/>
    <col min="760" max="760" width="13.44140625" style="31" customWidth="1"/>
    <col min="761" max="761" width="21.6640625" style="31" customWidth="1"/>
    <col min="762" max="762" width="20.33203125" style="31" customWidth="1"/>
    <col min="763" max="763" width="26.44140625" style="31" customWidth="1"/>
    <col min="764" max="764" width="14.33203125" style="31" customWidth="1"/>
    <col min="765" max="765" width="30" style="31" customWidth="1"/>
    <col min="766" max="766" width="12.44140625" style="31" customWidth="1"/>
    <col min="767" max="768" width="14.44140625" style="31" bestFit="1" customWidth="1"/>
    <col min="769" max="769" width="12.109375" style="31" customWidth="1"/>
    <col min="770" max="773" width="14.44140625" style="31" bestFit="1" customWidth="1"/>
    <col min="774" max="776" width="16.6640625" style="31" bestFit="1" customWidth="1"/>
    <col min="777" max="1015" width="11.44140625" style="31"/>
    <col min="1016" max="1016" width="13.44140625" style="31" customWidth="1"/>
    <col min="1017" max="1017" width="21.6640625" style="31" customWidth="1"/>
    <col min="1018" max="1018" width="20.33203125" style="31" customWidth="1"/>
    <col min="1019" max="1019" width="26.44140625" style="31" customWidth="1"/>
    <col min="1020" max="1020" width="14.33203125" style="31" customWidth="1"/>
    <col min="1021" max="1021" width="30" style="31" customWidth="1"/>
    <col min="1022" max="1022" width="12.44140625" style="31" customWidth="1"/>
    <col min="1023" max="1024" width="14.44140625" style="31" bestFit="1" customWidth="1"/>
    <col min="1025" max="1025" width="12.109375" style="31" customWidth="1"/>
    <col min="1026" max="1029" width="14.44140625" style="31" bestFit="1" customWidth="1"/>
    <col min="1030" max="1032" width="16.6640625" style="31" bestFit="1" customWidth="1"/>
    <col min="1033" max="1271" width="11.44140625" style="31"/>
    <col min="1272" max="1272" width="13.44140625" style="31" customWidth="1"/>
    <col min="1273" max="1273" width="21.6640625" style="31" customWidth="1"/>
    <col min="1274" max="1274" width="20.33203125" style="31" customWidth="1"/>
    <col min="1275" max="1275" width="26.44140625" style="31" customWidth="1"/>
    <col min="1276" max="1276" width="14.33203125" style="31" customWidth="1"/>
    <col min="1277" max="1277" width="30" style="31" customWidth="1"/>
    <col min="1278" max="1278" width="12.44140625" style="31" customWidth="1"/>
    <col min="1279" max="1280" width="14.44140625" style="31" bestFit="1" customWidth="1"/>
    <col min="1281" max="1281" width="12.109375" style="31" customWidth="1"/>
    <col min="1282" max="1285" width="14.44140625" style="31" bestFit="1" customWidth="1"/>
    <col min="1286" max="1288" width="16.6640625" style="31" bestFit="1" customWidth="1"/>
    <col min="1289" max="1527" width="11.44140625" style="31"/>
    <col min="1528" max="1528" width="13.44140625" style="31" customWidth="1"/>
    <col min="1529" max="1529" width="21.6640625" style="31" customWidth="1"/>
    <col min="1530" max="1530" width="20.33203125" style="31" customWidth="1"/>
    <col min="1531" max="1531" width="26.44140625" style="31" customWidth="1"/>
    <col min="1532" max="1532" width="14.33203125" style="31" customWidth="1"/>
    <col min="1533" max="1533" width="30" style="31" customWidth="1"/>
    <col min="1534" max="1534" width="12.44140625" style="31" customWidth="1"/>
    <col min="1535" max="1536" width="14.44140625" style="31" bestFit="1" customWidth="1"/>
    <col min="1537" max="1537" width="12.109375" style="31" customWidth="1"/>
    <col min="1538" max="1541" width="14.44140625" style="31" bestFit="1" customWidth="1"/>
    <col min="1542" max="1544" width="16.6640625" style="31" bestFit="1" customWidth="1"/>
    <col min="1545" max="1783" width="11.44140625" style="31"/>
    <col min="1784" max="1784" width="13.44140625" style="31" customWidth="1"/>
    <col min="1785" max="1785" width="21.6640625" style="31" customWidth="1"/>
    <col min="1786" max="1786" width="20.33203125" style="31" customWidth="1"/>
    <col min="1787" max="1787" width="26.44140625" style="31" customWidth="1"/>
    <col min="1788" max="1788" width="14.33203125" style="31" customWidth="1"/>
    <col min="1789" max="1789" width="30" style="31" customWidth="1"/>
    <col min="1790" max="1790" width="12.44140625" style="31" customWidth="1"/>
    <col min="1791" max="1792" width="14.44140625" style="31" bestFit="1" customWidth="1"/>
    <col min="1793" max="1793" width="12.109375" style="31" customWidth="1"/>
    <col min="1794" max="1797" width="14.44140625" style="31" bestFit="1" customWidth="1"/>
    <col min="1798" max="1800" width="16.6640625" style="31" bestFit="1" customWidth="1"/>
    <col min="1801" max="2039" width="11.44140625" style="31"/>
    <col min="2040" max="2040" width="13.44140625" style="31" customWidth="1"/>
    <col min="2041" max="2041" width="21.6640625" style="31" customWidth="1"/>
    <col min="2042" max="2042" width="20.33203125" style="31" customWidth="1"/>
    <col min="2043" max="2043" width="26.44140625" style="31" customWidth="1"/>
    <col min="2044" max="2044" width="14.33203125" style="31" customWidth="1"/>
    <col min="2045" max="2045" width="30" style="31" customWidth="1"/>
    <col min="2046" max="2046" width="12.44140625" style="31" customWidth="1"/>
    <col min="2047" max="2048" width="14.44140625" style="31" bestFit="1" customWidth="1"/>
    <col min="2049" max="2049" width="12.109375" style="31" customWidth="1"/>
    <col min="2050" max="2053" width="14.44140625" style="31" bestFit="1" customWidth="1"/>
    <col min="2054" max="2056" width="16.6640625" style="31" bestFit="1" customWidth="1"/>
    <col min="2057" max="2295" width="11.44140625" style="31"/>
    <col min="2296" max="2296" width="13.44140625" style="31" customWidth="1"/>
    <col min="2297" max="2297" width="21.6640625" style="31" customWidth="1"/>
    <col min="2298" max="2298" width="20.33203125" style="31" customWidth="1"/>
    <col min="2299" max="2299" width="26.44140625" style="31" customWidth="1"/>
    <col min="2300" max="2300" width="14.33203125" style="31" customWidth="1"/>
    <col min="2301" max="2301" width="30" style="31" customWidth="1"/>
    <col min="2302" max="2302" width="12.44140625" style="31" customWidth="1"/>
    <col min="2303" max="2304" width="14.44140625" style="31" bestFit="1" customWidth="1"/>
    <col min="2305" max="2305" width="12.109375" style="31" customWidth="1"/>
    <col min="2306" max="2309" width="14.44140625" style="31" bestFit="1" customWidth="1"/>
    <col min="2310" max="2312" width="16.6640625" style="31" bestFit="1" customWidth="1"/>
    <col min="2313" max="2551" width="11.44140625" style="31"/>
    <col min="2552" max="2552" width="13.44140625" style="31" customWidth="1"/>
    <col min="2553" max="2553" width="21.6640625" style="31" customWidth="1"/>
    <col min="2554" max="2554" width="20.33203125" style="31" customWidth="1"/>
    <col min="2555" max="2555" width="26.44140625" style="31" customWidth="1"/>
    <col min="2556" max="2556" width="14.33203125" style="31" customWidth="1"/>
    <col min="2557" max="2557" width="30" style="31" customWidth="1"/>
    <col min="2558" max="2558" width="12.44140625" style="31" customWidth="1"/>
    <col min="2559" max="2560" width="14.44140625" style="31" bestFit="1" customWidth="1"/>
    <col min="2561" max="2561" width="12.109375" style="31" customWidth="1"/>
    <col min="2562" max="2565" width="14.44140625" style="31" bestFit="1" customWidth="1"/>
    <col min="2566" max="2568" width="16.6640625" style="31" bestFit="1" customWidth="1"/>
    <col min="2569" max="2807" width="11.44140625" style="31"/>
    <col min="2808" max="2808" width="13.44140625" style="31" customWidth="1"/>
    <col min="2809" max="2809" width="21.6640625" style="31" customWidth="1"/>
    <col min="2810" max="2810" width="20.33203125" style="31" customWidth="1"/>
    <col min="2811" max="2811" width="26.44140625" style="31" customWidth="1"/>
    <col min="2812" max="2812" width="14.33203125" style="31" customWidth="1"/>
    <col min="2813" max="2813" width="30" style="31" customWidth="1"/>
    <col min="2814" max="2814" width="12.44140625" style="31" customWidth="1"/>
    <col min="2815" max="2816" width="14.44140625" style="31" bestFit="1" customWidth="1"/>
    <col min="2817" max="2817" width="12.109375" style="31" customWidth="1"/>
    <col min="2818" max="2821" width="14.44140625" style="31" bestFit="1" customWidth="1"/>
    <col min="2822" max="2824" width="16.6640625" style="31" bestFit="1" customWidth="1"/>
    <col min="2825" max="3063" width="11.44140625" style="31"/>
    <col min="3064" max="3064" width="13.44140625" style="31" customWidth="1"/>
    <col min="3065" max="3065" width="21.6640625" style="31" customWidth="1"/>
    <col min="3066" max="3066" width="20.33203125" style="31" customWidth="1"/>
    <col min="3067" max="3067" width="26.44140625" style="31" customWidth="1"/>
    <col min="3068" max="3068" width="14.33203125" style="31" customWidth="1"/>
    <col min="3069" max="3069" width="30" style="31" customWidth="1"/>
    <col min="3070" max="3070" width="12.44140625" style="31" customWidth="1"/>
    <col min="3071" max="3072" width="14.44140625" style="31" bestFit="1" customWidth="1"/>
    <col min="3073" max="3073" width="12.109375" style="31" customWidth="1"/>
    <col min="3074" max="3077" width="14.44140625" style="31" bestFit="1" customWidth="1"/>
    <col min="3078" max="3080" width="16.6640625" style="31" bestFit="1" customWidth="1"/>
    <col min="3081" max="3319" width="11.44140625" style="31"/>
    <col min="3320" max="3320" width="13.44140625" style="31" customWidth="1"/>
    <col min="3321" max="3321" width="21.6640625" style="31" customWidth="1"/>
    <col min="3322" max="3322" width="20.33203125" style="31" customWidth="1"/>
    <col min="3323" max="3323" width="26.44140625" style="31" customWidth="1"/>
    <col min="3324" max="3324" width="14.33203125" style="31" customWidth="1"/>
    <col min="3325" max="3325" width="30" style="31" customWidth="1"/>
    <col min="3326" max="3326" width="12.44140625" style="31" customWidth="1"/>
    <col min="3327" max="3328" width="14.44140625" style="31" bestFit="1" customWidth="1"/>
    <col min="3329" max="3329" width="12.109375" style="31" customWidth="1"/>
    <col min="3330" max="3333" width="14.44140625" style="31" bestFit="1" customWidth="1"/>
    <col min="3334" max="3336" width="16.6640625" style="31" bestFit="1" customWidth="1"/>
    <col min="3337" max="3575" width="11.44140625" style="31"/>
    <col min="3576" max="3576" width="13.44140625" style="31" customWidth="1"/>
    <col min="3577" max="3577" width="21.6640625" style="31" customWidth="1"/>
    <col min="3578" max="3578" width="20.33203125" style="31" customWidth="1"/>
    <col min="3579" max="3579" width="26.44140625" style="31" customWidth="1"/>
    <col min="3580" max="3580" width="14.33203125" style="31" customWidth="1"/>
    <col min="3581" max="3581" width="30" style="31" customWidth="1"/>
    <col min="3582" max="3582" width="12.44140625" style="31" customWidth="1"/>
    <col min="3583" max="3584" width="14.44140625" style="31" bestFit="1" customWidth="1"/>
    <col min="3585" max="3585" width="12.109375" style="31" customWidth="1"/>
    <col min="3586" max="3589" width="14.44140625" style="31" bestFit="1" customWidth="1"/>
    <col min="3590" max="3592" width="16.6640625" style="31" bestFit="1" customWidth="1"/>
    <col min="3593" max="3831" width="11.44140625" style="31"/>
    <col min="3832" max="3832" width="13.44140625" style="31" customWidth="1"/>
    <col min="3833" max="3833" width="21.6640625" style="31" customWidth="1"/>
    <col min="3834" max="3834" width="20.33203125" style="31" customWidth="1"/>
    <col min="3835" max="3835" width="26.44140625" style="31" customWidth="1"/>
    <col min="3836" max="3836" width="14.33203125" style="31" customWidth="1"/>
    <col min="3837" max="3837" width="30" style="31" customWidth="1"/>
    <col min="3838" max="3838" width="12.44140625" style="31" customWidth="1"/>
    <col min="3839" max="3840" width="14.44140625" style="31" bestFit="1" customWidth="1"/>
    <col min="3841" max="3841" width="12.109375" style="31" customWidth="1"/>
    <col min="3842" max="3845" width="14.44140625" style="31" bestFit="1" customWidth="1"/>
    <col min="3846" max="3848" width="16.6640625" style="31" bestFit="1" customWidth="1"/>
    <col min="3849" max="4087" width="11.44140625" style="31"/>
    <col min="4088" max="4088" width="13.44140625" style="31" customWidth="1"/>
    <col min="4089" max="4089" width="21.6640625" style="31" customWidth="1"/>
    <col min="4090" max="4090" width="20.33203125" style="31" customWidth="1"/>
    <col min="4091" max="4091" width="26.44140625" style="31" customWidth="1"/>
    <col min="4092" max="4092" width="14.33203125" style="31" customWidth="1"/>
    <col min="4093" max="4093" width="30" style="31" customWidth="1"/>
    <col min="4094" max="4094" width="12.44140625" style="31" customWidth="1"/>
    <col min="4095" max="4096" width="14.44140625" style="31" bestFit="1" customWidth="1"/>
    <col min="4097" max="4097" width="12.109375" style="31" customWidth="1"/>
    <col min="4098" max="4101" width="14.44140625" style="31" bestFit="1" customWidth="1"/>
    <col min="4102" max="4104" width="16.6640625" style="31" bestFit="1" customWidth="1"/>
    <col min="4105" max="4343" width="11.44140625" style="31"/>
    <col min="4344" max="4344" width="13.44140625" style="31" customWidth="1"/>
    <col min="4345" max="4345" width="21.6640625" style="31" customWidth="1"/>
    <col min="4346" max="4346" width="20.33203125" style="31" customWidth="1"/>
    <col min="4347" max="4347" width="26.44140625" style="31" customWidth="1"/>
    <col min="4348" max="4348" width="14.33203125" style="31" customWidth="1"/>
    <col min="4349" max="4349" width="30" style="31" customWidth="1"/>
    <col min="4350" max="4350" width="12.44140625" style="31" customWidth="1"/>
    <col min="4351" max="4352" width="14.44140625" style="31" bestFit="1" customWidth="1"/>
    <col min="4353" max="4353" width="12.109375" style="31" customWidth="1"/>
    <col min="4354" max="4357" width="14.44140625" style="31" bestFit="1" customWidth="1"/>
    <col min="4358" max="4360" width="16.6640625" style="31" bestFit="1" customWidth="1"/>
    <col min="4361" max="4599" width="11.44140625" style="31"/>
    <col min="4600" max="4600" width="13.44140625" style="31" customWidth="1"/>
    <col min="4601" max="4601" width="21.6640625" style="31" customWidth="1"/>
    <col min="4602" max="4602" width="20.33203125" style="31" customWidth="1"/>
    <col min="4603" max="4603" width="26.44140625" style="31" customWidth="1"/>
    <col min="4604" max="4604" width="14.33203125" style="31" customWidth="1"/>
    <col min="4605" max="4605" width="30" style="31" customWidth="1"/>
    <col min="4606" max="4606" width="12.44140625" style="31" customWidth="1"/>
    <col min="4607" max="4608" width="14.44140625" style="31" bestFit="1" customWidth="1"/>
    <col min="4609" max="4609" width="12.109375" style="31" customWidth="1"/>
    <col min="4610" max="4613" width="14.44140625" style="31" bestFit="1" customWidth="1"/>
    <col min="4614" max="4616" width="16.6640625" style="31" bestFit="1" customWidth="1"/>
    <col min="4617" max="4855" width="11.44140625" style="31"/>
    <col min="4856" max="4856" width="13.44140625" style="31" customWidth="1"/>
    <col min="4857" max="4857" width="21.6640625" style="31" customWidth="1"/>
    <col min="4858" max="4858" width="20.33203125" style="31" customWidth="1"/>
    <col min="4859" max="4859" width="26.44140625" style="31" customWidth="1"/>
    <col min="4860" max="4860" width="14.33203125" style="31" customWidth="1"/>
    <col min="4861" max="4861" width="30" style="31" customWidth="1"/>
    <col min="4862" max="4862" width="12.44140625" style="31" customWidth="1"/>
    <col min="4863" max="4864" width="14.44140625" style="31" bestFit="1" customWidth="1"/>
    <col min="4865" max="4865" width="12.109375" style="31" customWidth="1"/>
    <col min="4866" max="4869" width="14.44140625" style="31" bestFit="1" customWidth="1"/>
    <col min="4870" max="4872" width="16.6640625" style="31" bestFit="1" customWidth="1"/>
    <col min="4873" max="5111" width="11.44140625" style="31"/>
    <col min="5112" max="5112" width="13.44140625" style="31" customWidth="1"/>
    <col min="5113" max="5113" width="21.6640625" style="31" customWidth="1"/>
    <col min="5114" max="5114" width="20.33203125" style="31" customWidth="1"/>
    <col min="5115" max="5115" width="26.44140625" style="31" customWidth="1"/>
    <col min="5116" max="5116" width="14.33203125" style="31" customWidth="1"/>
    <col min="5117" max="5117" width="30" style="31" customWidth="1"/>
    <col min="5118" max="5118" width="12.44140625" style="31" customWidth="1"/>
    <col min="5119" max="5120" width="14.44140625" style="31" bestFit="1" customWidth="1"/>
    <col min="5121" max="5121" width="12.109375" style="31" customWidth="1"/>
    <col min="5122" max="5125" width="14.44140625" style="31" bestFit="1" customWidth="1"/>
    <col min="5126" max="5128" width="16.6640625" style="31" bestFit="1" customWidth="1"/>
    <col min="5129" max="5367" width="11.44140625" style="31"/>
    <col min="5368" max="5368" width="13.44140625" style="31" customWidth="1"/>
    <col min="5369" max="5369" width="21.6640625" style="31" customWidth="1"/>
    <col min="5370" max="5370" width="20.33203125" style="31" customWidth="1"/>
    <col min="5371" max="5371" width="26.44140625" style="31" customWidth="1"/>
    <col min="5372" max="5372" width="14.33203125" style="31" customWidth="1"/>
    <col min="5373" max="5373" width="30" style="31" customWidth="1"/>
    <col min="5374" max="5374" width="12.44140625" style="31" customWidth="1"/>
    <col min="5375" max="5376" width="14.44140625" style="31" bestFit="1" customWidth="1"/>
    <col min="5377" max="5377" width="12.109375" style="31" customWidth="1"/>
    <col min="5378" max="5381" width="14.44140625" style="31" bestFit="1" customWidth="1"/>
    <col min="5382" max="5384" width="16.6640625" style="31" bestFit="1" customWidth="1"/>
    <col min="5385" max="5623" width="11.44140625" style="31"/>
    <col min="5624" max="5624" width="13.44140625" style="31" customWidth="1"/>
    <col min="5625" max="5625" width="21.6640625" style="31" customWidth="1"/>
    <col min="5626" max="5626" width="20.33203125" style="31" customWidth="1"/>
    <col min="5627" max="5627" width="26.44140625" style="31" customWidth="1"/>
    <col min="5628" max="5628" width="14.33203125" style="31" customWidth="1"/>
    <col min="5629" max="5629" width="30" style="31" customWidth="1"/>
    <col min="5630" max="5630" width="12.44140625" style="31" customWidth="1"/>
    <col min="5631" max="5632" width="14.44140625" style="31" bestFit="1" customWidth="1"/>
    <col min="5633" max="5633" width="12.109375" style="31" customWidth="1"/>
    <col min="5634" max="5637" width="14.44140625" style="31" bestFit="1" customWidth="1"/>
    <col min="5638" max="5640" width="16.6640625" style="31" bestFit="1" customWidth="1"/>
    <col min="5641" max="5879" width="11.44140625" style="31"/>
    <col min="5880" max="5880" width="13.44140625" style="31" customWidth="1"/>
    <col min="5881" max="5881" width="21.6640625" style="31" customWidth="1"/>
    <col min="5882" max="5882" width="20.33203125" style="31" customWidth="1"/>
    <col min="5883" max="5883" width="26.44140625" style="31" customWidth="1"/>
    <col min="5884" max="5884" width="14.33203125" style="31" customWidth="1"/>
    <col min="5885" max="5885" width="30" style="31" customWidth="1"/>
    <col min="5886" max="5886" width="12.44140625" style="31" customWidth="1"/>
    <col min="5887" max="5888" width="14.44140625" style="31" bestFit="1" customWidth="1"/>
    <col min="5889" max="5889" width="12.109375" style="31" customWidth="1"/>
    <col min="5890" max="5893" width="14.44140625" style="31" bestFit="1" customWidth="1"/>
    <col min="5894" max="5896" width="16.6640625" style="31" bestFit="1" customWidth="1"/>
    <col min="5897" max="6135" width="11.44140625" style="31"/>
    <col min="6136" max="6136" width="13.44140625" style="31" customWidth="1"/>
    <col min="6137" max="6137" width="21.6640625" style="31" customWidth="1"/>
    <col min="6138" max="6138" width="20.33203125" style="31" customWidth="1"/>
    <col min="6139" max="6139" width="26.44140625" style="31" customWidth="1"/>
    <col min="6140" max="6140" width="14.33203125" style="31" customWidth="1"/>
    <col min="6141" max="6141" width="30" style="31" customWidth="1"/>
    <col min="6142" max="6142" width="12.44140625" style="31" customWidth="1"/>
    <col min="6143" max="6144" width="14.44140625" style="31" bestFit="1" customWidth="1"/>
    <col min="6145" max="6145" width="12.109375" style="31" customWidth="1"/>
    <col min="6146" max="6149" width="14.44140625" style="31" bestFit="1" customWidth="1"/>
    <col min="6150" max="6152" width="16.6640625" style="31" bestFit="1" customWidth="1"/>
    <col min="6153" max="6391" width="11.44140625" style="31"/>
    <col min="6392" max="6392" width="13.44140625" style="31" customWidth="1"/>
    <col min="6393" max="6393" width="21.6640625" style="31" customWidth="1"/>
    <col min="6394" max="6394" width="20.33203125" style="31" customWidth="1"/>
    <col min="6395" max="6395" width="26.44140625" style="31" customWidth="1"/>
    <col min="6396" max="6396" width="14.33203125" style="31" customWidth="1"/>
    <col min="6397" max="6397" width="30" style="31" customWidth="1"/>
    <col min="6398" max="6398" width="12.44140625" style="31" customWidth="1"/>
    <col min="6399" max="6400" width="14.44140625" style="31" bestFit="1" customWidth="1"/>
    <col min="6401" max="6401" width="12.109375" style="31" customWidth="1"/>
    <col min="6402" max="6405" width="14.44140625" style="31" bestFit="1" customWidth="1"/>
    <col min="6406" max="6408" width="16.6640625" style="31" bestFit="1" customWidth="1"/>
    <col min="6409" max="6647" width="11.44140625" style="31"/>
    <col min="6648" max="6648" width="13.44140625" style="31" customWidth="1"/>
    <col min="6649" max="6649" width="21.6640625" style="31" customWidth="1"/>
    <col min="6650" max="6650" width="20.33203125" style="31" customWidth="1"/>
    <col min="6651" max="6651" width="26.44140625" style="31" customWidth="1"/>
    <col min="6652" max="6652" width="14.33203125" style="31" customWidth="1"/>
    <col min="6653" max="6653" width="30" style="31" customWidth="1"/>
    <col min="6654" max="6654" width="12.44140625" style="31" customWidth="1"/>
    <col min="6655" max="6656" width="14.44140625" style="31" bestFit="1" customWidth="1"/>
    <col min="6657" max="6657" width="12.109375" style="31" customWidth="1"/>
    <col min="6658" max="6661" width="14.44140625" style="31" bestFit="1" customWidth="1"/>
    <col min="6662" max="6664" width="16.6640625" style="31" bestFit="1" customWidth="1"/>
    <col min="6665" max="6903" width="11.44140625" style="31"/>
    <col min="6904" max="6904" width="13.44140625" style="31" customWidth="1"/>
    <col min="6905" max="6905" width="21.6640625" style="31" customWidth="1"/>
    <col min="6906" max="6906" width="20.33203125" style="31" customWidth="1"/>
    <col min="6907" max="6907" width="26.44140625" style="31" customWidth="1"/>
    <col min="6908" max="6908" width="14.33203125" style="31" customWidth="1"/>
    <col min="6909" max="6909" width="30" style="31" customWidth="1"/>
    <col min="6910" max="6910" width="12.44140625" style="31" customWidth="1"/>
    <col min="6911" max="6912" width="14.44140625" style="31" bestFit="1" customWidth="1"/>
    <col min="6913" max="6913" width="12.109375" style="31" customWidth="1"/>
    <col min="6914" max="6917" width="14.44140625" style="31" bestFit="1" customWidth="1"/>
    <col min="6918" max="6920" width="16.6640625" style="31" bestFit="1" customWidth="1"/>
    <col min="6921" max="7159" width="11.44140625" style="31"/>
    <col min="7160" max="7160" width="13.44140625" style="31" customWidth="1"/>
    <col min="7161" max="7161" width="21.6640625" style="31" customWidth="1"/>
    <col min="7162" max="7162" width="20.33203125" style="31" customWidth="1"/>
    <col min="7163" max="7163" width="26.44140625" style="31" customWidth="1"/>
    <col min="7164" max="7164" width="14.33203125" style="31" customWidth="1"/>
    <col min="7165" max="7165" width="30" style="31" customWidth="1"/>
    <col min="7166" max="7166" width="12.44140625" style="31" customWidth="1"/>
    <col min="7167" max="7168" width="14.44140625" style="31" bestFit="1" customWidth="1"/>
    <col min="7169" max="7169" width="12.109375" style="31" customWidth="1"/>
    <col min="7170" max="7173" width="14.44140625" style="31" bestFit="1" customWidth="1"/>
    <col min="7174" max="7176" width="16.6640625" style="31" bestFit="1" customWidth="1"/>
    <col min="7177" max="7415" width="11.44140625" style="31"/>
    <col min="7416" max="7416" width="13.44140625" style="31" customWidth="1"/>
    <col min="7417" max="7417" width="21.6640625" style="31" customWidth="1"/>
    <col min="7418" max="7418" width="20.33203125" style="31" customWidth="1"/>
    <col min="7419" max="7419" width="26.44140625" style="31" customWidth="1"/>
    <col min="7420" max="7420" width="14.33203125" style="31" customWidth="1"/>
    <col min="7421" max="7421" width="30" style="31" customWidth="1"/>
    <col min="7422" max="7422" width="12.44140625" style="31" customWidth="1"/>
    <col min="7423" max="7424" width="14.44140625" style="31" bestFit="1" customWidth="1"/>
    <col min="7425" max="7425" width="12.109375" style="31" customWidth="1"/>
    <col min="7426" max="7429" width="14.44140625" style="31" bestFit="1" customWidth="1"/>
    <col min="7430" max="7432" width="16.6640625" style="31" bestFit="1" customWidth="1"/>
    <col min="7433" max="7671" width="11.44140625" style="31"/>
    <col min="7672" max="7672" width="13.44140625" style="31" customWidth="1"/>
    <col min="7673" max="7673" width="21.6640625" style="31" customWidth="1"/>
    <col min="7674" max="7674" width="20.33203125" style="31" customWidth="1"/>
    <col min="7675" max="7675" width="26.44140625" style="31" customWidth="1"/>
    <col min="7676" max="7676" width="14.33203125" style="31" customWidth="1"/>
    <col min="7677" max="7677" width="30" style="31" customWidth="1"/>
    <col min="7678" max="7678" width="12.44140625" style="31" customWidth="1"/>
    <col min="7679" max="7680" width="14.44140625" style="31" bestFit="1" customWidth="1"/>
    <col min="7681" max="7681" width="12.109375" style="31" customWidth="1"/>
    <col min="7682" max="7685" width="14.44140625" style="31" bestFit="1" customWidth="1"/>
    <col min="7686" max="7688" width="16.6640625" style="31" bestFit="1" customWidth="1"/>
    <col min="7689" max="7927" width="11.44140625" style="31"/>
    <col min="7928" max="7928" width="13.44140625" style="31" customWidth="1"/>
    <col min="7929" max="7929" width="21.6640625" style="31" customWidth="1"/>
    <col min="7930" max="7930" width="20.33203125" style="31" customWidth="1"/>
    <col min="7931" max="7931" width="26.44140625" style="31" customWidth="1"/>
    <col min="7932" max="7932" width="14.33203125" style="31" customWidth="1"/>
    <col min="7933" max="7933" width="30" style="31" customWidth="1"/>
    <col min="7934" max="7934" width="12.44140625" style="31" customWidth="1"/>
    <col min="7935" max="7936" width="14.44140625" style="31" bestFit="1" customWidth="1"/>
    <col min="7937" max="7937" width="12.109375" style="31" customWidth="1"/>
    <col min="7938" max="7941" width="14.44140625" style="31" bestFit="1" customWidth="1"/>
    <col min="7942" max="7944" width="16.6640625" style="31" bestFit="1" customWidth="1"/>
    <col min="7945" max="8183" width="11.44140625" style="31"/>
    <col min="8184" max="8184" width="13.44140625" style="31" customWidth="1"/>
    <col min="8185" max="8185" width="21.6640625" style="31" customWidth="1"/>
    <col min="8186" max="8186" width="20.33203125" style="31" customWidth="1"/>
    <col min="8187" max="8187" width="26.44140625" style="31" customWidth="1"/>
    <col min="8188" max="8188" width="14.33203125" style="31" customWidth="1"/>
    <col min="8189" max="8189" width="30" style="31" customWidth="1"/>
    <col min="8190" max="8190" width="12.44140625" style="31" customWidth="1"/>
    <col min="8191" max="8192" width="14.44140625" style="31" bestFit="1" customWidth="1"/>
    <col min="8193" max="8193" width="12.109375" style="31" customWidth="1"/>
    <col min="8194" max="8197" width="14.44140625" style="31" bestFit="1" customWidth="1"/>
    <col min="8198" max="8200" width="16.6640625" style="31" bestFit="1" customWidth="1"/>
    <col min="8201" max="8439" width="11.44140625" style="31"/>
    <col min="8440" max="8440" width="13.44140625" style="31" customWidth="1"/>
    <col min="8441" max="8441" width="21.6640625" style="31" customWidth="1"/>
    <col min="8442" max="8442" width="20.33203125" style="31" customWidth="1"/>
    <col min="8443" max="8443" width="26.44140625" style="31" customWidth="1"/>
    <col min="8444" max="8444" width="14.33203125" style="31" customWidth="1"/>
    <col min="8445" max="8445" width="30" style="31" customWidth="1"/>
    <col min="8446" max="8446" width="12.44140625" style="31" customWidth="1"/>
    <col min="8447" max="8448" width="14.44140625" style="31" bestFit="1" customWidth="1"/>
    <col min="8449" max="8449" width="12.109375" style="31" customWidth="1"/>
    <col min="8450" max="8453" width="14.44140625" style="31" bestFit="1" customWidth="1"/>
    <col min="8454" max="8456" width="16.6640625" style="31" bestFit="1" customWidth="1"/>
    <col min="8457" max="8695" width="11.44140625" style="31"/>
    <col min="8696" max="8696" width="13.44140625" style="31" customWidth="1"/>
    <col min="8697" max="8697" width="21.6640625" style="31" customWidth="1"/>
    <col min="8698" max="8698" width="20.33203125" style="31" customWidth="1"/>
    <col min="8699" max="8699" width="26.44140625" style="31" customWidth="1"/>
    <col min="8700" max="8700" width="14.33203125" style="31" customWidth="1"/>
    <col min="8701" max="8701" width="30" style="31" customWidth="1"/>
    <col min="8702" max="8702" width="12.44140625" style="31" customWidth="1"/>
    <col min="8703" max="8704" width="14.44140625" style="31" bestFit="1" customWidth="1"/>
    <col min="8705" max="8705" width="12.109375" style="31" customWidth="1"/>
    <col min="8706" max="8709" width="14.44140625" style="31" bestFit="1" customWidth="1"/>
    <col min="8710" max="8712" width="16.6640625" style="31" bestFit="1" customWidth="1"/>
    <col min="8713" max="8951" width="11.44140625" style="31"/>
    <col min="8952" max="8952" width="13.44140625" style="31" customWidth="1"/>
    <col min="8953" max="8953" width="21.6640625" style="31" customWidth="1"/>
    <col min="8954" max="8954" width="20.33203125" style="31" customWidth="1"/>
    <col min="8955" max="8955" width="26.44140625" style="31" customWidth="1"/>
    <col min="8956" max="8956" width="14.33203125" style="31" customWidth="1"/>
    <col min="8957" max="8957" width="30" style="31" customWidth="1"/>
    <col min="8958" max="8958" width="12.44140625" style="31" customWidth="1"/>
    <col min="8959" max="8960" width="14.44140625" style="31" bestFit="1" customWidth="1"/>
    <col min="8961" max="8961" width="12.109375" style="31" customWidth="1"/>
    <col min="8962" max="8965" width="14.44140625" style="31" bestFit="1" customWidth="1"/>
    <col min="8966" max="8968" width="16.6640625" style="31" bestFit="1" customWidth="1"/>
    <col min="8969" max="9207" width="11.44140625" style="31"/>
    <col min="9208" max="9208" width="13.44140625" style="31" customWidth="1"/>
    <col min="9209" max="9209" width="21.6640625" style="31" customWidth="1"/>
    <col min="9210" max="9210" width="20.33203125" style="31" customWidth="1"/>
    <col min="9211" max="9211" width="26.44140625" style="31" customWidth="1"/>
    <col min="9212" max="9212" width="14.33203125" style="31" customWidth="1"/>
    <col min="9213" max="9213" width="30" style="31" customWidth="1"/>
    <col min="9214" max="9214" width="12.44140625" style="31" customWidth="1"/>
    <col min="9215" max="9216" width="14.44140625" style="31" bestFit="1" customWidth="1"/>
    <col min="9217" max="9217" width="12.109375" style="31" customWidth="1"/>
    <col min="9218" max="9221" width="14.44140625" style="31" bestFit="1" customWidth="1"/>
    <col min="9222" max="9224" width="16.6640625" style="31" bestFit="1" customWidth="1"/>
    <col min="9225" max="9463" width="11.44140625" style="31"/>
    <col min="9464" max="9464" width="13.44140625" style="31" customWidth="1"/>
    <col min="9465" max="9465" width="21.6640625" style="31" customWidth="1"/>
    <col min="9466" max="9466" width="20.33203125" style="31" customWidth="1"/>
    <col min="9467" max="9467" width="26.44140625" style="31" customWidth="1"/>
    <col min="9468" max="9468" width="14.33203125" style="31" customWidth="1"/>
    <col min="9469" max="9469" width="30" style="31" customWidth="1"/>
    <col min="9470" max="9470" width="12.44140625" style="31" customWidth="1"/>
    <col min="9471" max="9472" width="14.44140625" style="31" bestFit="1" customWidth="1"/>
    <col min="9473" max="9473" width="12.109375" style="31" customWidth="1"/>
    <col min="9474" max="9477" width="14.44140625" style="31" bestFit="1" customWidth="1"/>
    <col min="9478" max="9480" width="16.6640625" style="31" bestFit="1" customWidth="1"/>
    <col min="9481" max="9719" width="11.44140625" style="31"/>
    <col min="9720" max="9720" width="13.44140625" style="31" customWidth="1"/>
    <col min="9721" max="9721" width="21.6640625" style="31" customWidth="1"/>
    <col min="9722" max="9722" width="20.33203125" style="31" customWidth="1"/>
    <col min="9723" max="9723" width="26.44140625" style="31" customWidth="1"/>
    <col min="9724" max="9724" width="14.33203125" style="31" customWidth="1"/>
    <col min="9725" max="9725" width="30" style="31" customWidth="1"/>
    <col min="9726" max="9726" width="12.44140625" style="31" customWidth="1"/>
    <col min="9727" max="9728" width="14.44140625" style="31" bestFit="1" customWidth="1"/>
    <col min="9729" max="9729" width="12.109375" style="31" customWidth="1"/>
    <col min="9730" max="9733" width="14.44140625" style="31" bestFit="1" customWidth="1"/>
    <col min="9734" max="9736" width="16.6640625" style="31" bestFit="1" customWidth="1"/>
    <col min="9737" max="9975" width="11.44140625" style="31"/>
    <col min="9976" max="9976" width="13.44140625" style="31" customWidth="1"/>
    <col min="9977" max="9977" width="21.6640625" style="31" customWidth="1"/>
    <col min="9978" max="9978" width="20.33203125" style="31" customWidth="1"/>
    <col min="9979" max="9979" width="26.44140625" style="31" customWidth="1"/>
    <col min="9980" max="9980" width="14.33203125" style="31" customWidth="1"/>
    <col min="9981" max="9981" width="30" style="31" customWidth="1"/>
    <col min="9982" max="9982" width="12.44140625" style="31" customWidth="1"/>
    <col min="9983" max="9984" width="14.44140625" style="31" bestFit="1" customWidth="1"/>
    <col min="9985" max="9985" width="12.109375" style="31" customWidth="1"/>
    <col min="9986" max="9989" width="14.44140625" style="31" bestFit="1" customWidth="1"/>
    <col min="9990" max="9992" width="16.6640625" style="31" bestFit="1" customWidth="1"/>
    <col min="9993" max="10231" width="11.44140625" style="31"/>
    <col min="10232" max="10232" width="13.44140625" style="31" customWidth="1"/>
    <col min="10233" max="10233" width="21.6640625" style="31" customWidth="1"/>
    <col min="10234" max="10234" width="20.33203125" style="31" customWidth="1"/>
    <col min="10235" max="10235" width="26.44140625" style="31" customWidth="1"/>
    <col min="10236" max="10236" width="14.33203125" style="31" customWidth="1"/>
    <col min="10237" max="10237" width="30" style="31" customWidth="1"/>
    <col min="10238" max="10238" width="12.44140625" style="31" customWidth="1"/>
    <col min="10239" max="10240" width="14.44140625" style="31" bestFit="1" customWidth="1"/>
    <col min="10241" max="10241" width="12.109375" style="31" customWidth="1"/>
    <col min="10242" max="10245" width="14.44140625" style="31" bestFit="1" customWidth="1"/>
    <col min="10246" max="10248" width="16.6640625" style="31" bestFit="1" customWidth="1"/>
    <col min="10249" max="10487" width="11.44140625" style="31"/>
    <col min="10488" max="10488" width="13.44140625" style="31" customWidth="1"/>
    <col min="10489" max="10489" width="21.6640625" style="31" customWidth="1"/>
    <col min="10490" max="10490" width="20.33203125" style="31" customWidth="1"/>
    <col min="10491" max="10491" width="26.44140625" style="31" customWidth="1"/>
    <col min="10492" max="10492" width="14.33203125" style="31" customWidth="1"/>
    <col min="10493" max="10493" width="30" style="31" customWidth="1"/>
    <col min="10494" max="10494" width="12.44140625" style="31" customWidth="1"/>
    <col min="10495" max="10496" width="14.44140625" style="31" bestFit="1" customWidth="1"/>
    <col min="10497" max="10497" width="12.109375" style="31" customWidth="1"/>
    <col min="10498" max="10501" width="14.44140625" style="31" bestFit="1" customWidth="1"/>
    <col min="10502" max="10504" width="16.6640625" style="31" bestFit="1" customWidth="1"/>
    <col min="10505" max="10743" width="11.44140625" style="31"/>
    <col min="10744" max="10744" width="13.44140625" style="31" customWidth="1"/>
    <col min="10745" max="10745" width="21.6640625" style="31" customWidth="1"/>
    <col min="10746" max="10746" width="20.33203125" style="31" customWidth="1"/>
    <col min="10747" max="10747" width="26.44140625" style="31" customWidth="1"/>
    <col min="10748" max="10748" width="14.33203125" style="31" customWidth="1"/>
    <col min="10749" max="10749" width="30" style="31" customWidth="1"/>
    <col min="10750" max="10750" width="12.44140625" style="31" customWidth="1"/>
    <col min="10751" max="10752" width="14.44140625" style="31" bestFit="1" customWidth="1"/>
    <col min="10753" max="10753" width="12.109375" style="31" customWidth="1"/>
    <col min="10754" max="10757" width="14.44140625" style="31" bestFit="1" customWidth="1"/>
    <col min="10758" max="10760" width="16.6640625" style="31" bestFit="1" customWidth="1"/>
    <col min="10761" max="10999" width="11.44140625" style="31"/>
    <col min="11000" max="11000" width="13.44140625" style="31" customWidth="1"/>
    <col min="11001" max="11001" width="21.6640625" style="31" customWidth="1"/>
    <col min="11002" max="11002" width="20.33203125" style="31" customWidth="1"/>
    <col min="11003" max="11003" width="26.44140625" style="31" customWidth="1"/>
    <col min="11004" max="11004" width="14.33203125" style="31" customWidth="1"/>
    <col min="11005" max="11005" width="30" style="31" customWidth="1"/>
    <col min="11006" max="11006" width="12.44140625" style="31" customWidth="1"/>
    <col min="11007" max="11008" width="14.44140625" style="31" bestFit="1" customWidth="1"/>
    <col min="11009" max="11009" width="12.109375" style="31" customWidth="1"/>
    <col min="11010" max="11013" width="14.44140625" style="31" bestFit="1" customWidth="1"/>
    <col min="11014" max="11016" width="16.6640625" style="31" bestFit="1" customWidth="1"/>
    <col min="11017" max="11255" width="11.44140625" style="31"/>
    <col min="11256" max="11256" width="13.44140625" style="31" customWidth="1"/>
    <col min="11257" max="11257" width="21.6640625" style="31" customWidth="1"/>
    <col min="11258" max="11258" width="20.33203125" style="31" customWidth="1"/>
    <col min="11259" max="11259" width="26.44140625" style="31" customWidth="1"/>
    <col min="11260" max="11260" width="14.33203125" style="31" customWidth="1"/>
    <col min="11261" max="11261" width="30" style="31" customWidth="1"/>
    <col min="11262" max="11262" width="12.44140625" style="31" customWidth="1"/>
    <col min="11263" max="11264" width="14.44140625" style="31" bestFit="1" customWidth="1"/>
    <col min="11265" max="11265" width="12.109375" style="31" customWidth="1"/>
    <col min="11266" max="11269" width="14.44140625" style="31" bestFit="1" customWidth="1"/>
    <col min="11270" max="11272" width="16.6640625" style="31" bestFit="1" customWidth="1"/>
    <col min="11273" max="11511" width="11.44140625" style="31"/>
    <col min="11512" max="11512" width="13.44140625" style="31" customWidth="1"/>
    <col min="11513" max="11513" width="21.6640625" style="31" customWidth="1"/>
    <col min="11514" max="11514" width="20.33203125" style="31" customWidth="1"/>
    <col min="11515" max="11515" width="26.44140625" style="31" customWidth="1"/>
    <col min="11516" max="11516" width="14.33203125" style="31" customWidth="1"/>
    <col min="11517" max="11517" width="30" style="31" customWidth="1"/>
    <col min="11518" max="11518" width="12.44140625" style="31" customWidth="1"/>
    <col min="11519" max="11520" width="14.44140625" style="31" bestFit="1" customWidth="1"/>
    <col min="11521" max="11521" width="12.109375" style="31" customWidth="1"/>
    <col min="11522" max="11525" width="14.44140625" style="31" bestFit="1" customWidth="1"/>
    <col min="11526" max="11528" width="16.6640625" style="31" bestFit="1" customWidth="1"/>
    <col min="11529" max="11767" width="11.44140625" style="31"/>
    <col min="11768" max="11768" width="13.44140625" style="31" customWidth="1"/>
    <col min="11769" max="11769" width="21.6640625" style="31" customWidth="1"/>
    <col min="11770" max="11770" width="20.33203125" style="31" customWidth="1"/>
    <col min="11771" max="11771" width="26.44140625" style="31" customWidth="1"/>
    <col min="11772" max="11772" width="14.33203125" style="31" customWidth="1"/>
    <col min="11773" max="11773" width="30" style="31" customWidth="1"/>
    <col min="11774" max="11774" width="12.44140625" style="31" customWidth="1"/>
    <col min="11775" max="11776" width="14.44140625" style="31" bestFit="1" customWidth="1"/>
    <col min="11777" max="11777" width="12.109375" style="31" customWidth="1"/>
    <col min="11778" max="11781" width="14.44140625" style="31" bestFit="1" customWidth="1"/>
    <col min="11782" max="11784" width="16.6640625" style="31" bestFit="1" customWidth="1"/>
    <col min="11785" max="12023" width="11.44140625" style="31"/>
    <col min="12024" max="12024" width="13.44140625" style="31" customWidth="1"/>
    <col min="12025" max="12025" width="21.6640625" style="31" customWidth="1"/>
    <col min="12026" max="12026" width="20.33203125" style="31" customWidth="1"/>
    <col min="12027" max="12027" width="26.44140625" style="31" customWidth="1"/>
    <col min="12028" max="12028" width="14.33203125" style="31" customWidth="1"/>
    <col min="12029" max="12029" width="30" style="31" customWidth="1"/>
    <col min="12030" max="12030" width="12.44140625" style="31" customWidth="1"/>
    <col min="12031" max="12032" width="14.44140625" style="31" bestFit="1" customWidth="1"/>
    <col min="12033" max="12033" width="12.109375" style="31" customWidth="1"/>
    <col min="12034" max="12037" width="14.44140625" style="31" bestFit="1" customWidth="1"/>
    <col min="12038" max="12040" width="16.6640625" style="31" bestFit="1" customWidth="1"/>
    <col min="12041" max="12279" width="11.44140625" style="31"/>
    <col min="12280" max="12280" width="13.44140625" style="31" customWidth="1"/>
    <col min="12281" max="12281" width="21.6640625" style="31" customWidth="1"/>
    <col min="12282" max="12282" width="20.33203125" style="31" customWidth="1"/>
    <col min="12283" max="12283" width="26.44140625" style="31" customWidth="1"/>
    <col min="12284" max="12284" width="14.33203125" style="31" customWidth="1"/>
    <col min="12285" max="12285" width="30" style="31" customWidth="1"/>
    <col min="12286" max="12286" width="12.44140625" style="31" customWidth="1"/>
    <col min="12287" max="12288" width="14.44140625" style="31" bestFit="1" customWidth="1"/>
    <col min="12289" max="12289" width="12.109375" style="31" customWidth="1"/>
    <col min="12290" max="12293" width="14.44140625" style="31" bestFit="1" customWidth="1"/>
    <col min="12294" max="12296" width="16.6640625" style="31" bestFit="1" customWidth="1"/>
    <col min="12297" max="12535" width="11.44140625" style="31"/>
    <col min="12536" max="12536" width="13.44140625" style="31" customWidth="1"/>
    <col min="12537" max="12537" width="21.6640625" style="31" customWidth="1"/>
    <col min="12538" max="12538" width="20.33203125" style="31" customWidth="1"/>
    <col min="12539" max="12539" width="26.44140625" style="31" customWidth="1"/>
    <col min="12540" max="12540" width="14.33203125" style="31" customWidth="1"/>
    <col min="12541" max="12541" width="30" style="31" customWidth="1"/>
    <col min="12542" max="12542" width="12.44140625" style="31" customWidth="1"/>
    <col min="12543" max="12544" width="14.44140625" style="31" bestFit="1" customWidth="1"/>
    <col min="12545" max="12545" width="12.109375" style="31" customWidth="1"/>
    <col min="12546" max="12549" width="14.44140625" style="31" bestFit="1" customWidth="1"/>
    <col min="12550" max="12552" width="16.6640625" style="31" bestFit="1" customWidth="1"/>
    <col min="12553" max="12791" width="11.44140625" style="31"/>
    <col min="12792" max="12792" width="13.44140625" style="31" customWidth="1"/>
    <col min="12793" max="12793" width="21.6640625" style="31" customWidth="1"/>
    <col min="12794" max="12794" width="20.33203125" style="31" customWidth="1"/>
    <col min="12795" max="12795" width="26.44140625" style="31" customWidth="1"/>
    <col min="12796" max="12796" width="14.33203125" style="31" customWidth="1"/>
    <col min="12797" max="12797" width="30" style="31" customWidth="1"/>
    <col min="12798" max="12798" width="12.44140625" style="31" customWidth="1"/>
    <col min="12799" max="12800" width="14.44140625" style="31" bestFit="1" customWidth="1"/>
    <col min="12801" max="12801" width="12.109375" style="31" customWidth="1"/>
    <col min="12802" max="12805" width="14.44140625" style="31" bestFit="1" customWidth="1"/>
    <col min="12806" max="12808" width="16.6640625" style="31" bestFit="1" customWidth="1"/>
    <col min="12809" max="13047" width="11.44140625" style="31"/>
    <col min="13048" max="13048" width="13.44140625" style="31" customWidth="1"/>
    <col min="13049" max="13049" width="21.6640625" style="31" customWidth="1"/>
    <col min="13050" max="13050" width="20.33203125" style="31" customWidth="1"/>
    <col min="13051" max="13051" width="26.44140625" style="31" customWidth="1"/>
    <col min="13052" max="13052" width="14.33203125" style="31" customWidth="1"/>
    <col min="13053" max="13053" width="30" style="31" customWidth="1"/>
    <col min="13054" max="13054" width="12.44140625" style="31" customWidth="1"/>
    <col min="13055" max="13056" width="14.44140625" style="31" bestFit="1" customWidth="1"/>
    <col min="13057" max="13057" width="12.109375" style="31" customWidth="1"/>
    <col min="13058" max="13061" width="14.44140625" style="31" bestFit="1" customWidth="1"/>
    <col min="13062" max="13064" width="16.6640625" style="31" bestFit="1" customWidth="1"/>
    <col min="13065" max="13303" width="11.44140625" style="31"/>
    <col min="13304" max="13304" width="13.44140625" style="31" customWidth="1"/>
    <col min="13305" max="13305" width="21.6640625" style="31" customWidth="1"/>
    <col min="13306" max="13306" width="20.33203125" style="31" customWidth="1"/>
    <col min="13307" max="13307" width="26.44140625" style="31" customWidth="1"/>
    <col min="13308" max="13308" width="14.33203125" style="31" customWidth="1"/>
    <col min="13309" max="13309" width="30" style="31" customWidth="1"/>
    <col min="13310" max="13310" width="12.44140625" style="31" customWidth="1"/>
    <col min="13311" max="13312" width="14.44140625" style="31" bestFit="1" customWidth="1"/>
    <col min="13313" max="13313" width="12.109375" style="31" customWidth="1"/>
    <col min="13314" max="13317" width="14.44140625" style="31" bestFit="1" customWidth="1"/>
    <col min="13318" max="13320" width="16.6640625" style="31" bestFit="1" customWidth="1"/>
    <col min="13321" max="13559" width="11.44140625" style="31"/>
    <col min="13560" max="13560" width="13.44140625" style="31" customWidth="1"/>
    <col min="13561" max="13561" width="21.6640625" style="31" customWidth="1"/>
    <col min="13562" max="13562" width="20.33203125" style="31" customWidth="1"/>
    <col min="13563" max="13563" width="26.44140625" style="31" customWidth="1"/>
    <col min="13564" max="13564" width="14.33203125" style="31" customWidth="1"/>
    <col min="13565" max="13565" width="30" style="31" customWidth="1"/>
    <col min="13566" max="13566" width="12.44140625" style="31" customWidth="1"/>
    <col min="13567" max="13568" width="14.44140625" style="31" bestFit="1" customWidth="1"/>
    <col min="13569" max="13569" width="12.109375" style="31" customWidth="1"/>
    <col min="13570" max="13573" width="14.44140625" style="31" bestFit="1" customWidth="1"/>
    <col min="13574" max="13576" width="16.6640625" style="31" bestFit="1" customWidth="1"/>
    <col min="13577" max="13815" width="11.44140625" style="31"/>
    <col min="13816" max="13816" width="13.44140625" style="31" customWidth="1"/>
    <col min="13817" max="13817" width="21.6640625" style="31" customWidth="1"/>
    <col min="13818" max="13818" width="20.33203125" style="31" customWidth="1"/>
    <col min="13819" max="13819" width="26.44140625" style="31" customWidth="1"/>
    <col min="13820" max="13820" width="14.33203125" style="31" customWidth="1"/>
    <col min="13821" max="13821" width="30" style="31" customWidth="1"/>
    <col min="13822" max="13822" width="12.44140625" style="31" customWidth="1"/>
    <col min="13823" max="13824" width="14.44140625" style="31" bestFit="1" customWidth="1"/>
    <col min="13825" max="13825" width="12.109375" style="31" customWidth="1"/>
    <col min="13826" max="13829" width="14.44140625" style="31" bestFit="1" customWidth="1"/>
    <col min="13830" max="13832" width="16.6640625" style="31" bestFit="1" customWidth="1"/>
    <col min="13833" max="14071" width="11.44140625" style="31"/>
    <col min="14072" max="14072" width="13.44140625" style="31" customWidth="1"/>
    <col min="14073" max="14073" width="21.6640625" style="31" customWidth="1"/>
    <col min="14074" max="14074" width="20.33203125" style="31" customWidth="1"/>
    <col min="14075" max="14075" width="26.44140625" style="31" customWidth="1"/>
    <col min="14076" max="14076" width="14.33203125" style="31" customWidth="1"/>
    <col min="14077" max="14077" width="30" style="31" customWidth="1"/>
    <col min="14078" max="14078" width="12.44140625" style="31" customWidth="1"/>
    <col min="14079" max="14080" width="14.44140625" style="31" bestFit="1" customWidth="1"/>
    <col min="14081" max="14081" width="12.109375" style="31" customWidth="1"/>
    <col min="14082" max="14085" width="14.44140625" style="31" bestFit="1" customWidth="1"/>
    <col min="14086" max="14088" width="16.6640625" style="31" bestFit="1" customWidth="1"/>
    <col min="14089" max="14327" width="11.44140625" style="31"/>
    <col min="14328" max="14328" width="13.44140625" style="31" customWidth="1"/>
    <col min="14329" max="14329" width="21.6640625" style="31" customWidth="1"/>
    <col min="14330" max="14330" width="20.33203125" style="31" customWidth="1"/>
    <col min="14331" max="14331" width="26.44140625" style="31" customWidth="1"/>
    <col min="14332" max="14332" width="14.33203125" style="31" customWidth="1"/>
    <col min="14333" max="14333" width="30" style="31" customWidth="1"/>
    <col min="14334" max="14334" width="12.44140625" style="31" customWidth="1"/>
    <col min="14335" max="14336" width="14.44140625" style="31" bestFit="1" customWidth="1"/>
    <col min="14337" max="14337" width="12.109375" style="31" customWidth="1"/>
    <col min="14338" max="14341" width="14.44140625" style="31" bestFit="1" customWidth="1"/>
    <col min="14342" max="14344" width="16.6640625" style="31" bestFit="1" customWidth="1"/>
    <col min="14345" max="14583" width="11.44140625" style="31"/>
    <col min="14584" max="14584" width="13.44140625" style="31" customWidth="1"/>
    <col min="14585" max="14585" width="21.6640625" style="31" customWidth="1"/>
    <col min="14586" max="14586" width="20.33203125" style="31" customWidth="1"/>
    <col min="14587" max="14587" width="26.44140625" style="31" customWidth="1"/>
    <col min="14588" max="14588" width="14.33203125" style="31" customWidth="1"/>
    <col min="14589" max="14589" width="30" style="31" customWidth="1"/>
    <col min="14590" max="14590" width="12.44140625" style="31" customWidth="1"/>
    <col min="14591" max="14592" width="14.44140625" style="31" bestFit="1" customWidth="1"/>
    <col min="14593" max="14593" width="12.109375" style="31" customWidth="1"/>
    <col min="14594" max="14597" width="14.44140625" style="31" bestFit="1" customWidth="1"/>
    <col min="14598" max="14600" width="16.6640625" style="31" bestFit="1" customWidth="1"/>
    <col min="14601" max="14839" width="11.44140625" style="31"/>
    <col min="14840" max="14840" width="13.44140625" style="31" customWidth="1"/>
    <col min="14841" max="14841" width="21.6640625" style="31" customWidth="1"/>
    <col min="14842" max="14842" width="20.33203125" style="31" customWidth="1"/>
    <col min="14843" max="14843" width="26.44140625" style="31" customWidth="1"/>
    <col min="14844" max="14844" width="14.33203125" style="31" customWidth="1"/>
    <col min="14845" max="14845" width="30" style="31" customWidth="1"/>
    <col min="14846" max="14846" width="12.44140625" style="31" customWidth="1"/>
    <col min="14847" max="14848" width="14.44140625" style="31" bestFit="1" customWidth="1"/>
    <col min="14849" max="14849" width="12.109375" style="31" customWidth="1"/>
    <col min="14850" max="14853" width="14.44140625" style="31" bestFit="1" customWidth="1"/>
    <col min="14854" max="14856" width="16.6640625" style="31" bestFit="1" customWidth="1"/>
    <col min="14857" max="15095" width="11.44140625" style="31"/>
    <col min="15096" max="15096" width="13.44140625" style="31" customWidth="1"/>
    <col min="15097" max="15097" width="21.6640625" style="31" customWidth="1"/>
    <col min="15098" max="15098" width="20.33203125" style="31" customWidth="1"/>
    <col min="15099" max="15099" width="26.44140625" style="31" customWidth="1"/>
    <col min="15100" max="15100" width="14.33203125" style="31" customWidth="1"/>
    <col min="15101" max="15101" width="30" style="31" customWidth="1"/>
    <col min="15102" max="15102" width="12.44140625" style="31" customWidth="1"/>
    <col min="15103" max="15104" width="14.44140625" style="31" bestFit="1" customWidth="1"/>
    <col min="15105" max="15105" width="12.109375" style="31" customWidth="1"/>
    <col min="15106" max="15109" width="14.44140625" style="31" bestFit="1" customWidth="1"/>
    <col min="15110" max="15112" width="16.6640625" style="31" bestFit="1" customWidth="1"/>
    <col min="15113" max="15351" width="11.44140625" style="31"/>
    <col min="15352" max="15352" width="13.44140625" style="31" customWidth="1"/>
    <col min="15353" max="15353" width="21.6640625" style="31" customWidth="1"/>
    <col min="15354" max="15354" width="20.33203125" style="31" customWidth="1"/>
    <col min="15355" max="15355" width="26.44140625" style="31" customWidth="1"/>
    <col min="15356" max="15356" width="14.33203125" style="31" customWidth="1"/>
    <col min="15357" max="15357" width="30" style="31" customWidth="1"/>
    <col min="15358" max="15358" width="12.44140625" style="31" customWidth="1"/>
    <col min="15359" max="15360" width="14.44140625" style="31" bestFit="1" customWidth="1"/>
    <col min="15361" max="15361" width="12.109375" style="31" customWidth="1"/>
    <col min="15362" max="15365" width="14.44140625" style="31" bestFit="1" customWidth="1"/>
    <col min="15366" max="15368" width="16.6640625" style="31" bestFit="1" customWidth="1"/>
    <col min="15369" max="15607" width="11.44140625" style="31"/>
    <col min="15608" max="15608" width="13.44140625" style="31" customWidth="1"/>
    <col min="15609" max="15609" width="21.6640625" style="31" customWidth="1"/>
    <col min="15610" max="15610" width="20.33203125" style="31" customWidth="1"/>
    <col min="15611" max="15611" width="26.44140625" style="31" customWidth="1"/>
    <col min="15612" max="15612" width="14.33203125" style="31" customWidth="1"/>
    <col min="15613" max="15613" width="30" style="31" customWidth="1"/>
    <col min="15614" max="15614" width="12.44140625" style="31" customWidth="1"/>
    <col min="15615" max="15616" width="14.44140625" style="31" bestFit="1" customWidth="1"/>
    <col min="15617" max="15617" width="12.109375" style="31" customWidth="1"/>
    <col min="15618" max="15621" width="14.44140625" style="31" bestFit="1" customWidth="1"/>
    <col min="15622" max="15624" width="16.6640625" style="31" bestFit="1" customWidth="1"/>
    <col min="15625" max="15863" width="11.44140625" style="31"/>
    <col min="15864" max="15864" width="13.44140625" style="31" customWidth="1"/>
    <col min="15865" max="15865" width="21.6640625" style="31" customWidth="1"/>
    <col min="15866" max="15866" width="20.33203125" style="31" customWidth="1"/>
    <col min="15867" max="15867" width="26.44140625" style="31" customWidth="1"/>
    <col min="15868" max="15868" width="14.33203125" style="31" customWidth="1"/>
    <col min="15869" max="15869" width="30" style="31" customWidth="1"/>
    <col min="15870" max="15870" width="12.44140625" style="31" customWidth="1"/>
    <col min="15871" max="15872" width="14.44140625" style="31" bestFit="1" customWidth="1"/>
    <col min="15873" max="15873" width="12.109375" style="31" customWidth="1"/>
    <col min="15874" max="15877" width="14.44140625" style="31" bestFit="1" customWidth="1"/>
    <col min="15878" max="15880" width="16.6640625" style="31" bestFit="1" customWidth="1"/>
    <col min="15881" max="16119" width="11.44140625" style="31"/>
    <col min="16120" max="16120" width="13.44140625" style="31" customWidth="1"/>
    <col min="16121" max="16121" width="21.6640625" style="31" customWidth="1"/>
    <col min="16122" max="16122" width="20.33203125" style="31" customWidth="1"/>
    <col min="16123" max="16123" width="26.44140625" style="31" customWidth="1"/>
    <col min="16124" max="16124" width="14.33203125" style="31" customWidth="1"/>
    <col min="16125" max="16125" width="30" style="31" customWidth="1"/>
    <col min="16126" max="16126" width="12.44140625" style="31" customWidth="1"/>
    <col min="16127" max="16128" width="14.44140625" style="31" bestFit="1" customWidth="1"/>
    <col min="16129" max="16129" width="12.109375" style="31" customWidth="1"/>
    <col min="16130" max="16133" width="14.44140625" style="31" bestFit="1" customWidth="1"/>
    <col min="16134" max="16136" width="16.6640625" style="31" bestFit="1" customWidth="1"/>
    <col min="16137" max="16384" width="11.44140625" style="31"/>
  </cols>
  <sheetData>
    <row r="1" spans="1:21" ht="16.05" customHeight="1"/>
    <row r="2" spans="1:21" ht="19.2" customHeight="1">
      <c r="A2" s="46"/>
      <c r="B2" s="606" t="s">
        <v>800</v>
      </c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</row>
    <row r="3" spans="1:21" ht="16.05" customHeight="1">
      <c r="A3" s="46"/>
      <c r="B3" s="607" t="s">
        <v>5</v>
      </c>
      <c r="C3" s="607" t="s">
        <v>49</v>
      </c>
      <c r="D3" s="614" t="s">
        <v>48</v>
      </c>
      <c r="E3" s="615"/>
      <c r="F3" s="616"/>
      <c r="G3" s="612" t="s">
        <v>51</v>
      </c>
      <c r="H3" s="612" t="s">
        <v>52</v>
      </c>
      <c r="I3" s="612" t="s">
        <v>53</v>
      </c>
      <c r="J3" s="612" t="s">
        <v>54</v>
      </c>
      <c r="K3" s="612" t="s">
        <v>55</v>
      </c>
      <c r="L3" s="612" t="s">
        <v>56</v>
      </c>
      <c r="M3" s="612" t="s">
        <v>57</v>
      </c>
      <c r="N3" s="612" t="s">
        <v>58</v>
      </c>
      <c r="O3" s="612" t="s">
        <v>59</v>
      </c>
      <c r="P3" s="612" t="s">
        <v>60</v>
      </c>
      <c r="Q3" s="612" t="s">
        <v>61</v>
      </c>
      <c r="R3" s="612" t="s">
        <v>156</v>
      </c>
    </row>
    <row r="4" spans="1:21" ht="16.05" customHeight="1">
      <c r="A4" s="46"/>
      <c r="B4" s="608"/>
      <c r="C4" s="608"/>
      <c r="D4" s="617"/>
      <c r="E4" s="618"/>
      <c r="F4" s="619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</row>
    <row r="5" spans="1:21" ht="20.399999999999999" customHeight="1">
      <c r="B5" s="405" t="s">
        <v>65</v>
      </c>
      <c r="C5" s="405" t="s">
        <v>67</v>
      </c>
      <c r="D5" s="620" t="s">
        <v>66</v>
      </c>
      <c r="E5" s="621"/>
      <c r="F5" s="622"/>
      <c r="G5" s="406">
        <v>0.13200000000000001</v>
      </c>
      <c r="H5" s="406">
        <v>0.13200000000000001</v>
      </c>
      <c r="I5" s="406">
        <v>0.13200000000000001</v>
      </c>
      <c r="J5" s="406">
        <v>0.13200000000000001</v>
      </c>
      <c r="K5" s="406">
        <v>0.13200000000000001</v>
      </c>
      <c r="L5" s="406">
        <v>0.13200000000000001</v>
      </c>
      <c r="M5" s="406">
        <v>0.13200000000000001</v>
      </c>
      <c r="N5" s="406">
        <v>0.13200000000000001</v>
      </c>
      <c r="O5" s="406">
        <v>0.13200000000000001</v>
      </c>
      <c r="P5" s="406">
        <v>0.13200000000000001</v>
      </c>
      <c r="Q5" s="406">
        <v>0.13200000000000001</v>
      </c>
      <c r="R5" s="406">
        <v>0.13200000000000001</v>
      </c>
    </row>
    <row r="6" spans="1:21" ht="12.75" customHeight="1">
      <c r="B6" s="407" t="s">
        <v>957</v>
      </c>
      <c r="C6" s="407" t="s">
        <v>955</v>
      </c>
      <c r="D6" s="626" t="s">
        <v>66</v>
      </c>
      <c r="E6" s="627"/>
      <c r="F6" s="628"/>
      <c r="G6" s="408">
        <v>0.11</v>
      </c>
      <c r="H6" s="408">
        <v>0.11</v>
      </c>
      <c r="I6" s="408">
        <v>0.11</v>
      </c>
      <c r="J6" s="408">
        <v>0.11</v>
      </c>
      <c r="K6" s="408">
        <v>0.11</v>
      </c>
      <c r="L6" s="408">
        <v>0.11</v>
      </c>
      <c r="M6" s="408">
        <v>0.11</v>
      </c>
      <c r="N6" s="408">
        <v>0.11</v>
      </c>
      <c r="O6" s="408">
        <v>0.11</v>
      </c>
      <c r="P6" s="408">
        <v>0.11</v>
      </c>
      <c r="Q6" s="408">
        <v>0.11</v>
      </c>
      <c r="R6" s="408">
        <v>0.11</v>
      </c>
    </row>
    <row r="7" spans="1:21" ht="20.399999999999999" customHeight="1">
      <c r="B7" s="146" t="s">
        <v>44</v>
      </c>
      <c r="C7" s="146" t="s">
        <v>64</v>
      </c>
      <c r="D7" s="623" t="s">
        <v>962</v>
      </c>
      <c r="E7" s="624"/>
      <c r="F7" s="625"/>
      <c r="G7" s="406">
        <v>0.20499999999999999</v>
      </c>
      <c r="H7" s="406">
        <v>0.20499999999999999</v>
      </c>
      <c r="I7" s="406">
        <v>0.20499999999999999</v>
      </c>
      <c r="J7" s="406">
        <v>0.20499999999999999</v>
      </c>
      <c r="K7" s="406">
        <v>0.20499999999999999</v>
      </c>
      <c r="L7" s="406">
        <v>0.20499999999999999</v>
      </c>
      <c r="M7" s="406">
        <v>0.20499999999999999</v>
      </c>
      <c r="N7" s="406">
        <v>0.20499999999999999</v>
      </c>
      <c r="O7" s="406">
        <v>0.20499999999999999</v>
      </c>
      <c r="P7" s="406">
        <v>0.20499999999999999</v>
      </c>
      <c r="Q7" s="406">
        <v>0.20499999999999999</v>
      </c>
      <c r="R7" s="406">
        <v>0.20499999999999999</v>
      </c>
    </row>
    <row r="8" spans="1:21" ht="12.75" customHeight="1">
      <c r="B8" s="403" t="s">
        <v>956</v>
      </c>
      <c r="C8" s="403" t="s">
        <v>955</v>
      </c>
      <c r="D8" s="644" t="s">
        <v>962</v>
      </c>
      <c r="E8" s="645"/>
      <c r="F8" s="646"/>
      <c r="G8" s="408">
        <v>0.05</v>
      </c>
      <c r="H8" s="408">
        <v>0.05</v>
      </c>
      <c r="I8" s="408">
        <v>0.05</v>
      </c>
      <c r="J8" s="408">
        <v>0.05</v>
      </c>
      <c r="K8" s="408">
        <v>0.05</v>
      </c>
      <c r="L8" s="408">
        <v>0.05</v>
      </c>
      <c r="M8" s="408">
        <v>0.05</v>
      </c>
      <c r="N8" s="408">
        <v>0.05</v>
      </c>
      <c r="O8" s="408">
        <v>0.05</v>
      </c>
      <c r="P8" s="408">
        <v>0.05</v>
      </c>
      <c r="Q8" s="408">
        <v>0.05</v>
      </c>
      <c r="R8" s="408">
        <v>0.05</v>
      </c>
    </row>
    <row r="9" spans="1:21" ht="20.399999999999999" customHeight="1">
      <c r="B9" s="146" t="s">
        <v>948</v>
      </c>
      <c r="C9" s="146" t="s">
        <v>64</v>
      </c>
      <c r="D9" s="623" t="s">
        <v>68</v>
      </c>
      <c r="E9" s="624"/>
      <c r="F9" s="625"/>
      <c r="G9" s="406">
        <v>0.249</v>
      </c>
      <c r="H9" s="406">
        <v>0.249</v>
      </c>
      <c r="I9" s="406">
        <v>0.249</v>
      </c>
      <c r="J9" s="406">
        <v>0.249</v>
      </c>
      <c r="K9" s="406">
        <v>0.249</v>
      </c>
      <c r="L9" s="406">
        <v>0.249</v>
      </c>
      <c r="M9" s="406">
        <v>0.249</v>
      </c>
      <c r="N9" s="406">
        <v>0.249</v>
      </c>
      <c r="O9" s="406"/>
      <c r="P9" s="406"/>
      <c r="Q9" s="406"/>
      <c r="R9" s="406"/>
    </row>
    <row r="10" spans="1:21" ht="14.55" customHeight="1">
      <c r="B10" s="403" t="s">
        <v>954</v>
      </c>
      <c r="C10" s="403" t="s">
        <v>955</v>
      </c>
      <c r="D10" s="644" t="s">
        <v>68</v>
      </c>
      <c r="E10" s="645"/>
      <c r="F10" s="646"/>
      <c r="G10" s="408">
        <v>0.3</v>
      </c>
      <c r="H10" s="408">
        <v>0.3</v>
      </c>
      <c r="I10" s="408">
        <v>0.3</v>
      </c>
      <c r="J10" s="408">
        <v>0.3</v>
      </c>
      <c r="K10" s="408">
        <v>0.3</v>
      </c>
      <c r="L10" s="408">
        <v>0.3</v>
      </c>
      <c r="M10" s="408">
        <v>0.3</v>
      </c>
      <c r="N10" s="408">
        <v>0.3</v>
      </c>
      <c r="O10" s="408"/>
      <c r="P10" s="408"/>
      <c r="Q10" s="408"/>
      <c r="R10" s="408"/>
    </row>
    <row r="11" spans="1:21" ht="20.399999999999999" customHeight="1">
      <c r="B11" s="146" t="s">
        <v>948</v>
      </c>
      <c r="C11" s="146" t="s">
        <v>64</v>
      </c>
      <c r="D11" s="623" t="s">
        <v>69</v>
      </c>
      <c r="E11" s="624"/>
      <c r="F11" s="625"/>
      <c r="G11" s="406"/>
      <c r="H11" s="406"/>
      <c r="I11" s="406"/>
      <c r="J11" s="406"/>
      <c r="K11" s="406"/>
      <c r="L11" s="406"/>
      <c r="M11" s="406"/>
      <c r="N11" s="406"/>
      <c r="O11" s="406">
        <v>0.10100000000000001</v>
      </c>
      <c r="P11" s="406">
        <v>0.10100000000000001</v>
      </c>
      <c r="Q11" s="406">
        <v>0.10100000000000001</v>
      </c>
      <c r="R11" s="406">
        <v>0.10100000000000001</v>
      </c>
    </row>
    <row r="12" spans="1:21" ht="12.75" customHeight="1">
      <c r="B12" s="403" t="s">
        <v>954</v>
      </c>
      <c r="C12" s="403" t="s">
        <v>955</v>
      </c>
      <c r="D12" s="644" t="s">
        <v>69</v>
      </c>
      <c r="E12" s="645"/>
      <c r="F12" s="646"/>
      <c r="G12" s="408"/>
      <c r="H12" s="408"/>
      <c r="I12" s="408"/>
      <c r="J12" s="408"/>
      <c r="K12" s="408"/>
      <c r="L12" s="408"/>
      <c r="M12" s="408"/>
      <c r="N12" s="408"/>
      <c r="O12" s="408">
        <v>0.3</v>
      </c>
      <c r="P12" s="408">
        <v>0.3</v>
      </c>
      <c r="Q12" s="408">
        <v>0.3</v>
      </c>
      <c r="R12" s="408">
        <v>0.3</v>
      </c>
    </row>
    <row r="13" spans="1:21" ht="20.399999999999999" customHeight="1">
      <c r="B13" s="117" t="s">
        <v>62</v>
      </c>
      <c r="C13" s="117" t="s">
        <v>64</v>
      </c>
      <c r="D13" s="641" t="s">
        <v>63</v>
      </c>
      <c r="E13" s="642"/>
      <c r="F13" s="643"/>
      <c r="G13" s="409">
        <v>7.85E-2</v>
      </c>
      <c r="H13" s="409">
        <v>7.85E-2</v>
      </c>
      <c r="I13" s="409">
        <v>7.85E-2</v>
      </c>
      <c r="J13" s="409">
        <v>7.85E-2</v>
      </c>
      <c r="K13" s="409">
        <v>7.5899999999999995E-2</v>
      </c>
      <c r="L13" s="409">
        <v>7.2099999999999997E-2</v>
      </c>
      <c r="M13" s="409">
        <v>6.0900000000000003E-2</v>
      </c>
      <c r="N13" s="409">
        <v>5.7299999999999997E-2</v>
      </c>
      <c r="O13" s="409">
        <v>5.5800000000000002E-2</v>
      </c>
      <c r="P13" s="409">
        <v>5.7099999999999998E-2</v>
      </c>
      <c r="Q13" s="409">
        <v>6.0699999999999997E-2</v>
      </c>
      <c r="R13" s="410">
        <v>5.9900000000000002E-2</v>
      </c>
      <c r="U13" s="320"/>
    </row>
    <row r="14" spans="1:21" ht="13.8">
      <c r="B14" s="404" t="s">
        <v>953</v>
      </c>
      <c r="C14" s="403" t="s">
        <v>955</v>
      </c>
      <c r="D14" s="638" t="s">
        <v>63</v>
      </c>
      <c r="E14" s="639"/>
      <c r="F14" s="640"/>
      <c r="G14" s="411">
        <v>0.1</v>
      </c>
      <c r="H14" s="411">
        <v>0.1</v>
      </c>
      <c r="I14" s="411">
        <v>0.1</v>
      </c>
      <c r="J14" s="411">
        <v>0.1</v>
      </c>
      <c r="K14" s="411">
        <v>0.1</v>
      </c>
      <c r="L14" s="411">
        <v>0.1</v>
      </c>
      <c r="M14" s="411">
        <v>0.1</v>
      </c>
      <c r="N14" s="411">
        <v>0.1</v>
      </c>
      <c r="O14" s="411">
        <v>0.1</v>
      </c>
      <c r="P14" s="411">
        <v>0.1</v>
      </c>
      <c r="Q14" s="411">
        <v>0.1</v>
      </c>
      <c r="R14" s="411">
        <v>0.1</v>
      </c>
      <c r="U14" s="320"/>
    </row>
    <row r="15" spans="1:21" ht="20.399999999999999" customHeight="1">
      <c r="B15" s="117" t="s">
        <v>944</v>
      </c>
      <c r="C15" s="117" t="s">
        <v>1024</v>
      </c>
      <c r="D15" s="641" t="s">
        <v>1025</v>
      </c>
      <c r="E15" s="642"/>
      <c r="F15" s="643"/>
      <c r="G15" s="409"/>
      <c r="H15" s="409"/>
      <c r="I15" s="409"/>
      <c r="J15" s="409"/>
      <c r="K15" s="409"/>
      <c r="L15" s="409"/>
      <c r="M15" s="410">
        <v>2.8</v>
      </c>
      <c r="N15" s="410">
        <v>2.8</v>
      </c>
      <c r="O15" s="410">
        <v>2.8</v>
      </c>
      <c r="P15" s="410">
        <v>2.8</v>
      </c>
      <c r="Q15" s="410">
        <v>2.8</v>
      </c>
      <c r="R15" s="410">
        <v>2.8</v>
      </c>
      <c r="U15" s="320"/>
    </row>
    <row r="16" spans="1:21" ht="13.8">
      <c r="B16" s="404" t="s">
        <v>1022</v>
      </c>
      <c r="C16" s="403" t="s">
        <v>955</v>
      </c>
      <c r="D16" s="638" t="s">
        <v>1025</v>
      </c>
      <c r="E16" s="639"/>
      <c r="F16" s="640"/>
      <c r="G16" s="411"/>
      <c r="H16" s="411"/>
      <c r="I16" s="411"/>
      <c r="J16" s="411"/>
      <c r="K16" s="411"/>
      <c r="L16" s="411"/>
      <c r="M16" s="411">
        <v>0.1</v>
      </c>
      <c r="N16" s="411">
        <v>0.1</v>
      </c>
      <c r="O16" s="411">
        <v>0.1</v>
      </c>
      <c r="P16" s="411">
        <v>0.1</v>
      </c>
      <c r="Q16" s="411">
        <v>0.1</v>
      </c>
      <c r="R16" s="411">
        <v>0.1</v>
      </c>
      <c r="U16" s="320"/>
    </row>
    <row r="17" spans="1:21" ht="20.399999999999999" customHeight="1">
      <c r="B17" s="117" t="s">
        <v>946</v>
      </c>
      <c r="C17" s="117" t="s">
        <v>1024</v>
      </c>
      <c r="D17" s="641" t="s">
        <v>1026</v>
      </c>
      <c r="E17" s="642"/>
      <c r="F17" s="643"/>
      <c r="G17" s="409"/>
      <c r="H17" s="409"/>
      <c r="I17" s="409"/>
      <c r="J17" s="409"/>
      <c r="K17" s="409"/>
      <c r="L17" s="409"/>
      <c r="M17" s="410">
        <v>3.16</v>
      </c>
      <c r="N17" s="410">
        <v>3.16</v>
      </c>
      <c r="O17" s="410">
        <v>3.16</v>
      </c>
      <c r="P17" s="410">
        <v>3.16</v>
      </c>
      <c r="Q17" s="410">
        <v>3.16</v>
      </c>
      <c r="R17" s="410">
        <v>3.16</v>
      </c>
      <c r="U17" s="320"/>
    </row>
    <row r="18" spans="1:21" ht="13.8">
      <c r="B18" s="404" t="s">
        <v>1023</v>
      </c>
      <c r="C18" s="403" t="s">
        <v>955</v>
      </c>
      <c r="D18" s="638" t="s">
        <v>1026</v>
      </c>
      <c r="E18" s="639"/>
      <c r="F18" s="640"/>
      <c r="G18" s="411"/>
      <c r="H18" s="411"/>
      <c r="I18" s="411"/>
      <c r="J18" s="411"/>
      <c r="K18" s="411"/>
      <c r="L18" s="411"/>
      <c r="M18" s="411">
        <v>0.1</v>
      </c>
      <c r="N18" s="411">
        <v>0.1</v>
      </c>
      <c r="O18" s="411">
        <v>0.1</v>
      </c>
      <c r="P18" s="411">
        <v>0.1</v>
      </c>
      <c r="Q18" s="411">
        <v>0.1</v>
      </c>
      <c r="R18" s="411">
        <v>0.1</v>
      </c>
      <c r="U18" s="320"/>
    </row>
    <row r="19" spans="1:21">
      <c r="B19" s="117" t="s">
        <v>945</v>
      </c>
      <c r="C19" s="117" t="s">
        <v>1030</v>
      </c>
      <c r="D19" s="641" t="s">
        <v>1031</v>
      </c>
      <c r="E19" s="642"/>
      <c r="F19" s="643"/>
      <c r="G19" s="409"/>
      <c r="H19" s="409"/>
      <c r="I19" s="409"/>
      <c r="J19" s="409"/>
      <c r="K19" s="409"/>
      <c r="L19" s="409"/>
      <c r="M19" s="410">
        <v>0.23</v>
      </c>
      <c r="N19" s="410">
        <v>0.23</v>
      </c>
      <c r="O19" s="410">
        <v>0.23</v>
      </c>
      <c r="P19" s="410">
        <v>0.23</v>
      </c>
      <c r="Q19" s="410">
        <v>0.23</v>
      </c>
      <c r="R19" s="410">
        <v>0.23</v>
      </c>
      <c r="U19" s="320"/>
    </row>
    <row r="20" spans="1:21" ht="13.8">
      <c r="B20" s="404" t="s">
        <v>1023</v>
      </c>
      <c r="C20" s="403" t="s">
        <v>955</v>
      </c>
      <c r="D20" s="662" t="s">
        <v>1031</v>
      </c>
      <c r="E20" s="663"/>
      <c r="F20" s="664"/>
      <c r="G20" s="411"/>
      <c r="H20" s="411"/>
      <c r="I20" s="411"/>
      <c r="J20" s="411"/>
      <c r="K20" s="411"/>
      <c r="L20" s="411"/>
      <c r="M20" s="411">
        <v>0.1</v>
      </c>
      <c r="N20" s="411">
        <v>0.1</v>
      </c>
      <c r="O20" s="411">
        <v>0.1</v>
      </c>
      <c r="P20" s="411">
        <v>0.1</v>
      </c>
      <c r="Q20" s="411">
        <v>0.1</v>
      </c>
      <c r="R20" s="411">
        <v>0.1</v>
      </c>
      <c r="U20" s="320"/>
    </row>
    <row r="21" spans="1:21" ht="12.6" customHeight="1">
      <c r="A21" s="154"/>
      <c r="B21" s="117" t="s">
        <v>1059</v>
      </c>
      <c r="C21" s="117" t="s">
        <v>1061</v>
      </c>
      <c r="D21" s="665" t="s">
        <v>1062</v>
      </c>
      <c r="E21" s="666"/>
      <c r="F21" s="667"/>
      <c r="G21" s="468">
        <v>0.99494601783758407</v>
      </c>
      <c r="H21" s="468">
        <v>0.86479588367296056</v>
      </c>
      <c r="I21" s="468">
        <v>1.1361245942646139</v>
      </c>
      <c r="J21" s="468">
        <v>0.97673382657894059</v>
      </c>
      <c r="K21" s="468">
        <v>0.87222971582725572</v>
      </c>
      <c r="L21" s="468">
        <v>1.2295658899738953</v>
      </c>
      <c r="M21" s="468">
        <v>1.0708788278552783</v>
      </c>
      <c r="N21" s="469">
        <v>0.97414017617770965</v>
      </c>
      <c r="O21" s="469">
        <v>1.0061764861015876</v>
      </c>
      <c r="P21" s="469">
        <v>1.1191938748569918</v>
      </c>
      <c r="Q21" s="469">
        <v>1.0998990976446508</v>
      </c>
      <c r="R21" s="470">
        <v>1.2017955017955018</v>
      </c>
    </row>
    <row r="22" spans="1:21" ht="12.6" customHeight="1">
      <c r="A22" s="154"/>
      <c r="B22" s="154"/>
      <c r="C22" s="154"/>
      <c r="D22" s="155"/>
      <c r="E22" s="156"/>
      <c r="F22" s="157"/>
      <c r="G22" s="115"/>
      <c r="H22" s="44"/>
      <c r="I22" s="44"/>
      <c r="J22" s="44"/>
      <c r="K22" s="44"/>
      <c r="L22" s="44"/>
      <c r="M22" s="44"/>
    </row>
    <row r="23" spans="1:21" ht="12.75" customHeight="1">
      <c r="A23" s="154"/>
      <c r="B23" s="154"/>
      <c r="C23" s="154"/>
      <c r="D23" s="155"/>
      <c r="E23" s="156"/>
      <c r="F23" s="157"/>
      <c r="G23" s="115"/>
      <c r="H23" s="44"/>
      <c r="I23" s="44"/>
      <c r="J23" s="44"/>
      <c r="K23" s="44"/>
      <c r="L23" s="44"/>
      <c r="M23" s="44"/>
    </row>
    <row r="24" spans="1:21" ht="12.75" customHeight="1">
      <c r="A24" s="154"/>
      <c r="B24" s="154"/>
      <c r="C24" s="154"/>
      <c r="D24" s="155"/>
      <c r="E24" s="156"/>
      <c r="F24" s="157"/>
      <c r="G24" s="115"/>
      <c r="H24" s="44"/>
      <c r="I24" s="44"/>
      <c r="J24" s="44"/>
      <c r="K24" s="44"/>
      <c r="L24" s="44"/>
      <c r="M24" s="44"/>
    </row>
    <row r="25" spans="1:21" ht="16.05" customHeight="1">
      <c r="A25" s="46"/>
    </row>
    <row r="26" spans="1:21" ht="28.8" customHeight="1">
      <c r="A26" s="46"/>
      <c r="B26" s="609" t="s">
        <v>803</v>
      </c>
      <c r="C26" s="609"/>
      <c r="D26" s="609"/>
      <c r="E26" s="609"/>
      <c r="F26" s="609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</row>
    <row r="27" spans="1:21" ht="24.45" customHeight="1">
      <c r="A27" s="46"/>
      <c r="B27" s="418" t="s">
        <v>5</v>
      </c>
      <c r="C27" s="418" t="s">
        <v>49</v>
      </c>
      <c r="D27" s="418" t="s">
        <v>70</v>
      </c>
      <c r="E27" s="418" t="s">
        <v>71</v>
      </c>
      <c r="F27" s="418" t="s">
        <v>72</v>
      </c>
      <c r="G27" s="419">
        <v>2009</v>
      </c>
      <c r="H27" s="419">
        <v>2010</v>
      </c>
      <c r="I27" s="419">
        <v>2011</v>
      </c>
      <c r="J27" s="419">
        <v>2012</v>
      </c>
      <c r="K27" s="419">
        <v>2013</v>
      </c>
      <c r="L27" s="419">
        <v>2014</v>
      </c>
      <c r="M27" s="419">
        <v>2015</v>
      </c>
      <c r="N27" s="419">
        <v>2016</v>
      </c>
      <c r="O27" s="419">
        <v>2017</v>
      </c>
      <c r="P27" s="419">
        <v>2018</v>
      </c>
      <c r="Q27" s="419">
        <v>2019</v>
      </c>
      <c r="R27" s="420">
        <v>2020</v>
      </c>
    </row>
    <row r="28" spans="1:21" ht="16.05" hidden="1" customHeight="1" outlineLevel="2">
      <c r="A28" s="46"/>
      <c r="B28" s="652" t="s">
        <v>62</v>
      </c>
      <c r="C28" s="610" t="s">
        <v>801</v>
      </c>
      <c r="D28" s="414" t="s">
        <v>74</v>
      </c>
      <c r="E28" s="414">
        <v>105</v>
      </c>
      <c r="F28" s="414" t="s">
        <v>75</v>
      </c>
      <c r="G28" s="415">
        <v>143224</v>
      </c>
      <c r="H28" s="415">
        <v>145919</v>
      </c>
      <c r="I28" s="415">
        <v>199314</v>
      </c>
      <c r="J28" s="415">
        <v>209010</v>
      </c>
      <c r="K28" s="415">
        <v>199680</v>
      </c>
      <c r="L28" s="415">
        <v>195588</v>
      </c>
      <c r="M28" s="415">
        <v>180632</v>
      </c>
      <c r="N28" s="415">
        <v>157280</v>
      </c>
      <c r="O28" s="415">
        <v>173200</v>
      </c>
      <c r="P28" s="415">
        <v>169240</v>
      </c>
      <c r="Q28" s="416">
        <v>161700</v>
      </c>
      <c r="R28" s="417">
        <v>136052</v>
      </c>
    </row>
    <row r="29" spans="1:21" ht="16.05" hidden="1" customHeight="1" outlineLevel="2">
      <c r="A29" s="46"/>
      <c r="B29" s="652"/>
      <c r="C29" s="611"/>
      <c r="D29" s="118" t="s">
        <v>74</v>
      </c>
      <c r="E29" s="118">
        <v>102</v>
      </c>
      <c r="F29" s="118" t="s">
        <v>76</v>
      </c>
      <c r="G29" s="253">
        <v>218524</v>
      </c>
      <c r="H29" s="253">
        <v>197604</v>
      </c>
      <c r="I29" s="253">
        <v>187270</v>
      </c>
      <c r="J29" s="253">
        <v>193740</v>
      </c>
      <c r="K29" s="253">
        <v>201160</v>
      </c>
      <c r="L29" s="253">
        <v>173250</v>
      </c>
      <c r="M29" s="253">
        <v>167980</v>
      </c>
      <c r="N29" s="253">
        <v>156000</v>
      </c>
      <c r="O29" s="253">
        <v>160480</v>
      </c>
      <c r="P29" s="253">
        <v>140160</v>
      </c>
      <c r="Q29" s="120">
        <v>156580</v>
      </c>
      <c r="R29" s="119">
        <v>133709</v>
      </c>
    </row>
    <row r="30" spans="1:21" ht="16.05" hidden="1" customHeight="1" outlineLevel="2">
      <c r="A30" s="46"/>
      <c r="B30" s="652"/>
      <c r="C30" s="611"/>
      <c r="D30" s="118" t="s">
        <v>74</v>
      </c>
      <c r="E30" s="118">
        <v>706</v>
      </c>
      <c r="F30" s="118" t="s">
        <v>77</v>
      </c>
      <c r="G30" s="253">
        <v>187804</v>
      </c>
      <c r="H30" s="253">
        <v>191029</v>
      </c>
      <c r="I30" s="253">
        <v>182519</v>
      </c>
      <c r="J30" s="253">
        <v>187359</v>
      </c>
      <c r="K30" s="253">
        <v>178044</v>
      </c>
      <c r="L30" s="253">
        <v>179174</v>
      </c>
      <c r="M30" s="253">
        <v>166081</v>
      </c>
      <c r="N30" s="253">
        <v>158615</v>
      </c>
      <c r="O30" s="253">
        <v>158108</v>
      </c>
      <c r="P30" s="253">
        <v>136626</v>
      </c>
      <c r="Q30" s="253">
        <v>131395</v>
      </c>
      <c r="R30" s="119">
        <v>128546</v>
      </c>
    </row>
    <row r="31" spans="1:21" ht="16.05" hidden="1" customHeight="1" outlineLevel="2">
      <c r="A31" s="46"/>
      <c r="B31" s="652"/>
      <c r="C31" s="611"/>
      <c r="D31" s="118" t="s">
        <v>74</v>
      </c>
      <c r="E31" s="118">
        <v>703</v>
      </c>
      <c r="F31" s="118" t="s">
        <v>78</v>
      </c>
      <c r="G31" s="253">
        <v>5421</v>
      </c>
      <c r="H31" s="253">
        <v>27819</v>
      </c>
      <c r="I31" s="253">
        <v>201652</v>
      </c>
      <c r="J31" s="253">
        <v>188208</v>
      </c>
      <c r="K31" s="253">
        <v>189939</v>
      </c>
      <c r="L31" s="253">
        <v>180993</v>
      </c>
      <c r="M31" s="253">
        <v>170692</v>
      </c>
      <c r="N31" s="253">
        <v>170398</v>
      </c>
      <c r="O31" s="253">
        <v>173271</v>
      </c>
      <c r="P31" s="253">
        <v>167602</v>
      </c>
      <c r="Q31" s="253">
        <v>165175</v>
      </c>
      <c r="R31" s="119">
        <v>155347</v>
      </c>
    </row>
    <row r="32" spans="1:21" ht="16.05" hidden="1" customHeight="1" outlineLevel="2">
      <c r="A32" s="46"/>
      <c r="B32" s="652"/>
      <c r="C32" s="611"/>
      <c r="D32" s="118" t="s">
        <v>74</v>
      </c>
      <c r="E32" s="118">
        <v>605</v>
      </c>
      <c r="F32" s="118" t="s">
        <v>79</v>
      </c>
      <c r="G32" s="253">
        <v>222584</v>
      </c>
      <c r="H32" s="253">
        <v>191735</v>
      </c>
      <c r="I32" s="253">
        <v>195431</v>
      </c>
      <c r="J32" s="253">
        <v>190794</v>
      </c>
      <c r="K32" s="253">
        <v>184922</v>
      </c>
      <c r="L32" s="253">
        <v>169824</v>
      </c>
      <c r="M32" s="253">
        <v>165423</v>
      </c>
      <c r="N32" s="253">
        <v>159024</v>
      </c>
      <c r="O32" s="253">
        <v>176725</v>
      </c>
      <c r="P32" s="253">
        <v>168576</v>
      </c>
      <c r="Q32" s="253">
        <v>167780</v>
      </c>
      <c r="R32" s="119">
        <v>153031</v>
      </c>
    </row>
    <row r="33" spans="1:20" ht="16.05" hidden="1" customHeight="1" outlineLevel="2">
      <c r="A33" s="46"/>
      <c r="B33" s="652"/>
      <c r="C33" s="611"/>
      <c r="D33" s="118" t="s">
        <v>74</v>
      </c>
      <c r="E33" s="118">
        <v>607</v>
      </c>
      <c r="F33" s="118" t="s">
        <v>80</v>
      </c>
      <c r="G33" s="253">
        <v>116959</v>
      </c>
      <c r="H33" s="253">
        <v>135181</v>
      </c>
      <c r="I33" s="253">
        <v>257758</v>
      </c>
      <c r="J33" s="253">
        <v>230968</v>
      </c>
      <c r="K33" s="253">
        <v>250022</v>
      </c>
      <c r="L33" s="253">
        <v>282580</v>
      </c>
      <c r="M33" s="253">
        <v>237549</v>
      </c>
      <c r="N33" s="253">
        <v>246925</v>
      </c>
      <c r="O33" s="253">
        <v>252630</v>
      </c>
      <c r="P33" s="253">
        <v>227493</v>
      </c>
      <c r="Q33" s="253">
        <v>232440</v>
      </c>
      <c r="R33" s="119">
        <v>231415</v>
      </c>
    </row>
    <row r="34" spans="1:20" ht="16.05" hidden="1" customHeight="1" outlineLevel="2">
      <c r="A34" s="46"/>
      <c r="B34" s="652"/>
      <c r="C34" s="611"/>
      <c r="D34" s="118" t="s">
        <v>74</v>
      </c>
      <c r="E34" s="118" t="s">
        <v>81</v>
      </c>
      <c r="F34" s="118" t="s">
        <v>82</v>
      </c>
      <c r="G34" s="253">
        <v>393961</v>
      </c>
      <c r="H34" s="253">
        <v>377202</v>
      </c>
      <c r="I34" s="253">
        <v>348821</v>
      </c>
      <c r="J34" s="253">
        <v>339804</v>
      </c>
      <c r="K34" s="253">
        <v>348845</v>
      </c>
      <c r="L34" s="253">
        <v>332615</v>
      </c>
      <c r="M34" s="253">
        <v>367333</v>
      </c>
      <c r="N34" s="253">
        <v>299551</v>
      </c>
      <c r="O34" s="253">
        <v>266818</v>
      </c>
      <c r="P34" s="253">
        <v>307796</v>
      </c>
      <c r="Q34" s="253">
        <v>296223</v>
      </c>
      <c r="R34" s="119">
        <v>299926</v>
      </c>
    </row>
    <row r="35" spans="1:20" ht="16.05" hidden="1" customHeight="1" outlineLevel="2">
      <c r="A35" s="46"/>
      <c r="B35" s="652"/>
      <c r="C35" s="611"/>
      <c r="D35" s="118" t="s">
        <v>74</v>
      </c>
      <c r="E35" s="118">
        <v>603</v>
      </c>
      <c r="F35" s="118" t="s">
        <v>83</v>
      </c>
      <c r="G35" s="253">
        <v>343285</v>
      </c>
      <c r="H35" s="253">
        <v>329876</v>
      </c>
      <c r="I35" s="253">
        <v>267381</v>
      </c>
      <c r="J35" s="253">
        <v>219074</v>
      </c>
      <c r="K35" s="253">
        <v>239498</v>
      </c>
      <c r="L35" s="253">
        <v>208459</v>
      </c>
      <c r="M35" s="253">
        <v>196866</v>
      </c>
      <c r="N35" s="253">
        <v>199569</v>
      </c>
      <c r="O35" s="253">
        <v>220987</v>
      </c>
      <c r="P35" s="253">
        <v>71639</v>
      </c>
      <c r="Q35" s="253">
        <v>67370</v>
      </c>
      <c r="R35" s="119">
        <v>111588</v>
      </c>
    </row>
    <row r="36" spans="1:20" ht="16.05" hidden="1" customHeight="1" outlineLevel="2">
      <c r="A36" s="46"/>
      <c r="B36" s="652"/>
      <c r="C36" s="611"/>
      <c r="D36" s="118" t="s">
        <v>74</v>
      </c>
      <c r="E36" s="118">
        <v>606</v>
      </c>
      <c r="F36" s="118" t="s">
        <v>84</v>
      </c>
      <c r="G36" s="253">
        <v>686320</v>
      </c>
      <c r="H36" s="253">
        <v>695780</v>
      </c>
      <c r="I36" s="253">
        <v>651080</v>
      </c>
      <c r="J36" s="253">
        <v>746810</v>
      </c>
      <c r="K36" s="253">
        <v>693240</v>
      </c>
      <c r="L36" s="253">
        <v>603110</v>
      </c>
      <c r="M36" s="253">
        <v>529421</v>
      </c>
      <c r="N36" s="253">
        <v>477636</v>
      </c>
      <c r="O36" s="253">
        <v>516549</v>
      </c>
      <c r="P36" s="253">
        <v>548626</v>
      </c>
      <c r="Q36" s="253">
        <v>562163</v>
      </c>
      <c r="R36" s="119">
        <v>449326</v>
      </c>
    </row>
    <row r="37" spans="1:20" ht="16.05" hidden="1" customHeight="1" outlineLevel="2">
      <c r="A37" s="46"/>
      <c r="B37" s="652"/>
      <c r="C37" s="611"/>
      <c r="D37" s="118" t="s">
        <v>74</v>
      </c>
      <c r="E37" s="118">
        <v>707</v>
      </c>
      <c r="F37" s="118" t="s">
        <v>85</v>
      </c>
      <c r="G37" s="253">
        <v>27954</v>
      </c>
      <c r="H37" s="253">
        <v>20987</v>
      </c>
      <c r="I37" s="253">
        <v>155492</v>
      </c>
      <c r="J37" s="253">
        <v>110641</v>
      </c>
      <c r="K37" s="253">
        <v>129325</v>
      </c>
      <c r="L37" s="253">
        <v>139918</v>
      </c>
      <c r="M37" s="253">
        <v>115719</v>
      </c>
      <c r="N37" s="253">
        <v>113641</v>
      </c>
      <c r="O37" s="253">
        <v>114751</v>
      </c>
      <c r="P37" s="253">
        <v>116012</v>
      </c>
      <c r="Q37" s="253">
        <v>122883</v>
      </c>
      <c r="R37" s="119">
        <v>109458</v>
      </c>
    </row>
    <row r="38" spans="1:20" ht="16.05" hidden="1" customHeight="1" outlineLevel="2">
      <c r="A38" s="46"/>
      <c r="B38" s="652"/>
      <c r="C38" s="611"/>
      <c r="D38" s="118" t="s">
        <v>74</v>
      </c>
      <c r="E38" s="118"/>
      <c r="F38" s="118" t="s">
        <v>89</v>
      </c>
      <c r="G38" s="120" t="s">
        <v>815</v>
      </c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T38" s="31" t="s">
        <v>816</v>
      </c>
    </row>
    <row r="39" spans="1:20" ht="16.05" customHeight="1" collapsed="1">
      <c r="A39" s="46"/>
      <c r="B39" s="652"/>
      <c r="C39" s="611"/>
      <c r="D39" s="133" t="s">
        <v>74</v>
      </c>
      <c r="E39" s="133"/>
      <c r="F39" s="133" t="s">
        <v>36</v>
      </c>
      <c r="G39" s="136">
        <f t="shared" ref="G39:P39" si="0">SUM(G28:G38)</f>
        <v>2346036</v>
      </c>
      <c r="H39" s="136">
        <f t="shared" si="0"/>
        <v>2313132</v>
      </c>
      <c r="I39" s="136">
        <f t="shared" si="0"/>
        <v>2646718</v>
      </c>
      <c r="J39" s="136">
        <f t="shared" si="0"/>
        <v>2616408</v>
      </c>
      <c r="K39" s="136">
        <f t="shared" si="0"/>
        <v>2614675</v>
      </c>
      <c r="L39" s="136">
        <f t="shared" si="0"/>
        <v>2465511</v>
      </c>
      <c r="M39" s="136">
        <f t="shared" si="0"/>
        <v>2297696</v>
      </c>
      <c r="N39" s="136">
        <f t="shared" si="0"/>
        <v>2138639</v>
      </c>
      <c r="O39" s="136">
        <f t="shared" si="0"/>
        <v>2213519</v>
      </c>
      <c r="P39" s="136">
        <f t="shared" si="0"/>
        <v>2053770</v>
      </c>
      <c r="Q39" s="136">
        <f>SUM(Q28:Q37)</f>
        <v>2063709</v>
      </c>
      <c r="R39" s="136">
        <f>SUM(R28:R37)</f>
        <v>1908398</v>
      </c>
      <c r="T39" s="158"/>
    </row>
    <row r="40" spans="1:20" ht="16.05" hidden="1" customHeight="1" outlineLevel="1">
      <c r="A40" s="46"/>
      <c r="B40" s="652"/>
      <c r="C40" s="611"/>
      <c r="D40" s="121" t="s">
        <v>90</v>
      </c>
      <c r="E40" s="121">
        <v>114</v>
      </c>
      <c r="F40" s="121" t="s">
        <v>91</v>
      </c>
      <c r="G40" s="122"/>
      <c r="H40" s="122"/>
      <c r="I40" s="254">
        <v>20930</v>
      </c>
      <c r="J40" s="254">
        <v>48100</v>
      </c>
      <c r="K40" s="254">
        <v>53620</v>
      </c>
      <c r="L40" s="254">
        <v>58240</v>
      </c>
      <c r="M40" s="254">
        <v>40136</v>
      </c>
      <c r="N40" s="254">
        <v>45142</v>
      </c>
      <c r="O40" s="254">
        <v>33269.299999999988</v>
      </c>
      <c r="P40" s="254">
        <v>9662.7000000000116</v>
      </c>
      <c r="Q40" s="254">
        <v>10112.650000000023</v>
      </c>
      <c r="R40" s="119">
        <v>10151</v>
      </c>
    </row>
    <row r="41" spans="1:20" ht="16.05" hidden="1" customHeight="1" outlineLevel="1">
      <c r="A41" s="46"/>
      <c r="B41" s="652"/>
      <c r="C41" s="611"/>
      <c r="D41" s="121" t="s">
        <v>90</v>
      </c>
      <c r="E41" s="121">
        <v>301</v>
      </c>
      <c r="F41" s="121" t="s">
        <v>92</v>
      </c>
      <c r="G41" s="122"/>
      <c r="H41" s="122"/>
      <c r="I41" s="254">
        <v>13498</v>
      </c>
      <c r="J41" s="254">
        <v>16288</v>
      </c>
      <c r="K41" s="254">
        <v>18273</v>
      </c>
      <c r="L41" s="254">
        <v>15506</v>
      </c>
      <c r="M41" s="254">
        <v>17346</v>
      </c>
      <c r="N41" s="254">
        <v>14983</v>
      </c>
      <c r="O41" s="254">
        <v>21190.100000000006</v>
      </c>
      <c r="P41" s="254">
        <v>17159.899999999994</v>
      </c>
      <c r="Q41" s="254">
        <v>18346.699999999997</v>
      </c>
      <c r="R41" s="119">
        <v>20111</v>
      </c>
    </row>
    <row r="42" spans="1:20" ht="16.05" hidden="1" customHeight="1" outlineLevel="1">
      <c r="A42" s="46"/>
      <c r="B42" s="652"/>
      <c r="C42" s="611"/>
      <c r="D42" s="121" t="s">
        <v>90</v>
      </c>
      <c r="E42" s="121">
        <v>402</v>
      </c>
      <c r="F42" s="121" t="s">
        <v>93</v>
      </c>
      <c r="G42" s="122"/>
      <c r="H42" s="122"/>
      <c r="I42" s="254"/>
      <c r="J42" s="254">
        <v>3095</v>
      </c>
      <c r="K42" s="254">
        <v>14713</v>
      </c>
      <c r="L42" s="254">
        <v>12406</v>
      </c>
      <c r="M42" s="254">
        <v>13488</v>
      </c>
      <c r="N42" s="254">
        <v>14088</v>
      </c>
      <c r="O42" s="254">
        <v>27413.100000000006</v>
      </c>
      <c r="P42" s="254">
        <v>20572.899999999994</v>
      </c>
      <c r="Q42" s="254">
        <v>17382.699999999997</v>
      </c>
      <c r="R42" s="119">
        <v>20007</v>
      </c>
    </row>
    <row r="43" spans="1:20" ht="16.05" hidden="1" customHeight="1" outlineLevel="1">
      <c r="A43" s="46"/>
      <c r="B43" s="652"/>
      <c r="C43" s="611"/>
      <c r="D43" s="121" t="s">
        <v>90</v>
      </c>
      <c r="E43" s="121">
        <v>503</v>
      </c>
      <c r="F43" s="121" t="s">
        <v>94</v>
      </c>
      <c r="G43" s="122"/>
      <c r="H43" s="122"/>
      <c r="I43" s="254">
        <v>6701</v>
      </c>
      <c r="J43" s="254">
        <v>5806</v>
      </c>
      <c r="K43" s="254">
        <v>19443</v>
      </c>
      <c r="L43" s="254">
        <v>16987</v>
      </c>
      <c r="M43" s="254">
        <v>10423</v>
      </c>
      <c r="N43" s="254">
        <v>24524</v>
      </c>
      <c r="O43" s="254">
        <v>13759.200000000012</v>
      </c>
      <c r="P43" s="254">
        <v>29450</v>
      </c>
      <c r="Q43" s="254">
        <v>29376</v>
      </c>
      <c r="R43" s="119">
        <v>7895</v>
      </c>
    </row>
    <row r="44" spans="1:20" ht="16.05" customHeight="1" collapsed="1">
      <c r="A44" s="46"/>
      <c r="B44" s="652"/>
      <c r="C44" s="611"/>
      <c r="D44" s="138" t="s">
        <v>90</v>
      </c>
      <c r="E44" s="138"/>
      <c r="F44" s="138" t="s">
        <v>95</v>
      </c>
      <c r="G44" s="139"/>
      <c r="H44" s="139"/>
      <c r="I44" s="139">
        <f t="shared" ref="I44:R44" si="1">SUM(I40:I43)</f>
        <v>41129</v>
      </c>
      <c r="J44" s="139">
        <f t="shared" si="1"/>
        <v>73289</v>
      </c>
      <c r="K44" s="139">
        <f t="shared" si="1"/>
        <v>106049</v>
      </c>
      <c r="L44" s="139">
        <f t="shared" si="1"/>
        <v>103139</v>
      </c>
      <c r="M44" s="139">
        <f t="shared" si="1"/>
        <v>81393</v>
      </c>
      <c r="N44" s="139">
        <f t="shared" si="1"/>
        <v>98737</v>
      </c>
      <c r="O44" s="139">
        <f t="shared" si="1"/>
        <v>95631.700000000012</v>
      </c>
      <c r="P44" s="139">
        <f t="shared" si="1"/>
        <v>76845.5</v>
      </c>
      <c r="Q44" s="139">
        <f t="shared" si="1"/>
        <v>75218.050000000017</v>
      </c>
      <c r="R44" s="139">
        <f t="shared" si="1"/>
        <v>58164</v>
      </c>
      <c r="S44" s="151"/>
    </row>
    <row r="45" spans="1:20" ht="16.05" hidden="1" customHeight="1" outlineLevel="1">
      <c r="A45" s="46"/>
      <c r="B45" s="652"/>
      <c r="C45" s="611"/>
      <c r="D45" s="140" t="s">
        <v>96</v>
      </c>
      <c r="E45" s="140">
        <v>106</v>
      </c>
      <c r="F45" s="140" t="s">
        <v>97</v>
      </c>
      <c r="G45" s="141"/>
      <c r="H45" s="141"/>
      <c r="I45" s="255">
        <v>143329</v>
      </c>
      <c r="J45" s="255">
        <v>129435</v>
      </c>
      <c r="K45" s="255">
        <v>134590</v>
      </c>
      <c r="L45" s="255">
        <v>131445</v>
      </c>
      <c r="M45" s="255">
        <v>162558</v>
      </c>
      <c r="N45" s="255">
        <v>188788</v>
      </c>
      <c r="O45" s="255">
        <v>176066.86000000004</v>
      </c>
      <c r="P45" s="255">
        <v>192913</v>
      </c>
      <c r="Q45" s="255">
        <v>196111</v>
      </c>
      <c r="R45" s="141">
        <v>147409</v>
      </c>
    </row>
    <row r="46" spans="1:20" ht="16.05" hidden="1" customHeight="1" outlineLevel="1">
      <c r="A46" s="46"/>
      <c r="B46" s="652"/>
      <c r="C46" s="611"/>
      <c r="D46" s="140" t="s">
        <v>96</v>
      </c>
      <c r="E46" s="140">
        <v>113</v>
      </c>
      <c r="F46" s="140" t="s">
        <v>98</v>
      </c>
      <c r="G46" s="141"/>
      <c r="H46" s="141"/>
      <c r="I46" s="255">
        <v>405688</v>
      </c>
      <c r="J46" s="255">
        <v>441588</v>
      </c>
      <c r="K46" s="255">
        <v>429450</v>
      </c>
      <c r="L46" s="255">
        <v>401013</v>
      </c>
      <c r="M46" s="255">
        <v>365411</v>
      </c>
      <c r="N46" s="255">
        <v>357394</v>
      </c>
      <c r="O46" s="255">
        <v>112766</v>
      </c>
      <c r="P46" s="255">
        <v>28450</v>
      </c>
      <c r="Q46" s="142">
        <v>340981</v>
      </c>
      <c r="R46" s="383">
        <v>220758</v>
      </c>
      <c r="T46" s="47"/>
    </row>
    <row r="47" spans="1:20" ht="16.05" hidden="1" customHeight="1" outlineLevel="1">
      <c r="A47" s="46"/>
      <c r="B47" s="652"/>
      <c r="C47" s="611"/>
      <c r="D47" s="140" t="s">
        <v>96</v>
      </c>
      <c r="E47" s="140">
        <v>107</v>
      </c>
      <c r="F47" s="140" t="s">
        <v>99</v>
      </c>
      <c r="G47" s="141"/>
      <c r="H47" s="141"/>
      <c r="I47" s="255">
        <v>545553</v>
      </c>
      <c r="J47" s="255">
        <v>628086</v>
      </c>
      <c r="K47" s="255">
        <v>562190</v>
      </c>
      <c r="L47" s="255">
        <v>558981</v>
      </c>
      <c r="M47" s="255">
        <v>563331</v>
      </c>
      <c r="N47" s="255">
        <v>438468</v>
      </c>
      <c r="O47" s="255">
        <v>352916</v>
      </c>
      <c r="P47" s="255">
        <v>346512</v>
      </c>
      <c r="Q47" s="255">
        <v>438674</v>
      </c>
      <c r="R47" s="141">
        <v>260195</v>
      </c>
    </row>
    <row r="48" spans="1:20" ht="16.05" hidden="1" customHeight="1" outlineLevel="1">
      <c r="A48" s="46"/>
      <c r="B48" s="652"/>
      <c r="C48" s="611"/>
      <c r="D48" s="140" t="s">
        <v>96</v>
      </c>
      <c r="E48" s="140">
        <v>307</v>
      </c>
      <c r="F48" s="140" t="s">
        <v>100</v>
      </c>
      <c r="G48" s="141"/>
      <c r="H48" s="141"/>
      <c r="I48" s="255">
        <v>160000</v>
      </c>
      <c r="J48" s="255">
        <v>160000</v>
      </c>
      <c r="K48" s="255">
        <v>160000</v>
      </c>
      <c r="L48" s="255">
        <v>167787</v>
      </c>
      <c r="M48" s="255">
        <v>157141</v>
      </c>
      <c r="N48" s="255">
        <v>153393</v>
      </c>
      <c r="O48" s="255">
        <v>142308</v>
      </c>
      <c r="P48" s="255">
        <v>154190</v>
      </c>
      <c r="Q48" s="255">
        <v>175878</v>
      </c>
      <c r="R48" s="141">
        <v>175878</v>
      </c>
    </row>
    <row r="49" spans="1:29" ht="16.05" hidden="1" customHeight="1" outlineLevel="1">
      <c r="A49" s="46"/>
      <c r="B49" s="652"/>
      <c r="C49" s="611"/>
      <c r="D49" s="140" t="s">
        <v>96</v>
      </c>
      <c r="E49" s="140">
        <v>304</v>
      </c>
      <c r="F49" s="140" t="s">
        <v>101</v>
      </c>
      <c r="G49" s="141"/>
      <c r="H49" s="255">
        <v>295741</v>
      </c>
      <c r="I49" s="255">
        <v>336349</v>
      </c>
      <c r="J49" s="255">
        <v>292508</v>
      </c>
      <c r="K49" s="255">
        <v>299735</v>
      </c>
      <c r="L49" s="255">
        <v>270384</v>
      </c>
      <c r="M49" s="255">
        <v>245328</v>
      </c>
      <c r="N49" s="255">
        <v>236082</v>
      </c>
      <c r="O49" s="255">
        <v>220559</v>
      </c>
      <c r="P49" s="255">
        <v>164769</v>
      </c>
      <c r="Q49" s="255">
        <v>124018</v>
      </c>
      <c r="R49" s="141">
        <v>141093</v>
      </c>
      <c r="S49" s="34"/>
      <c r="T49" s="31">
        <f>S49/N49</f>
        <v>0</v>
      </c>
    </row>
    <row r="50" spans="1:29" ht="16.05" hidden="1" customHeight="1" outlineLevel="1">
      <c r="A50" s="46"/>
      <c r="B50" s="652"/>
      <c r="C50" s="611"/>
      <c r="D50" s="140" t="s">
        <v>96</v>
      </c>
      <c r="E50" s="140">
        <v>306</v>
      </c>
      <c r="F50" s="140" t="s">
        <v>102</v>
      </c>
      <c r="G50" s="141"/>
      <c r="H50" s="255">
        <v>124239</v>
      </c>
      <c r="I50" s="255">
        <v>123352</v>
      </c>
      <c r="J50" s="255">
        <v>103229</v>
      </c>
      <c r="K50" s="255">
        <v>109427</v>
      </c>
      <c r="L50" s="255">
        <v>119279</v>
      </c>
      <c r="M50" s="255">
        <v>146308</v>
      </c>
      <c r="N50" s="255">
        <v>172491</v>
      </c>
      <c r="O50" s="255">
        <v>163300</v>
      </c>
      <c r="P50" s="255">
        <v>193596</v>
      </c>
      <c r="Q50" s="255">
        <v>187526</v>
      </c>
      <c r="R50" s="141">
        <v>160111</v>
      </c>
    </row>
    <row r="51" spans="1:29" ht="16.05" hidden="1" customHeight="1" outlineLevel="1">
      <c r="A51" s="46"/>
      <c r="B51" s="652"/>
      <c r="C51" s="611"/>
      <c r="D51" s="140" t="s">
        <v>96</v>
      </c>
      <c r="E51" s="140">
        <v>303</v>
      </c>
      <c r="F51" s="140" t="s">
        <v>103</v>
      </c>
      <c r="G51" s="141"/>
      <c r="H51" s="255"/>
      <c r="I51" s="255">
        <v>371372</v>
      </c>
      <c r="J51" s="255">
        <v>343750</v>
      </c>
      <c r="K51" s="255">
        <v>382341</v>
      </c>
      <c r="L51" s="255">
        <v>449343</v>
      </c>
      <c r="M51" s="255">
        <v>448746</v>
      </c>
      <c r="N51" s="255">
        <v>411517</v>
      </c>
      <c r="O51" s="255">
        <v>365252</v>
      </c>
      <c r="P51" s="255">
        <v>334267</v>
      </c>
      <c r="Q51" s="255">
        <v>300000</v>
      </c>
      <c r="R51" s="141">
        <v>236465</v>
      </c>
    </row>
    <row r="52" spans="1:29" ht="16.05" hidden="1" customHeight="1" outlineLevel="1">
      <c r="A52" s="46"/>
      <c r="B52" s="652"/>
      <c r="C52" s="611"/>
      <c r="D52" s="140" t="s">
        <v>96</v>
      </c>
      <c r="E52" s="140">
        <v>302</v>
      </c>
      <c r="F52" s="140" t="s">
        <v>104</v>
      </c>
      <c r="G52" s="141"/>
      <c r="H52" s="255">
        <v>277508</v>
      </c>
      <c r="I52" s="255">
        <v>283322</v>
      </c>
      <c r="J52" s="255">
        <v>521261</v>
      </c>
      <c r="K52" s="255">
        <v>569891</v>
      </c>
      <c r="L52" s="255">
        <v>550306</v>
      </c>
      <c r="M52" s="255">
        <v>800426</v>
      </c>
      <c r="N52" s="255">
        <v>858020</v>
      </c>
      <c r="O52" s="255">
        <v>1192025</v>
      </c>
      <c r="P52" s="255">
        <v>1116491</v>
      </c>
      <c r="Q52" s="255">
        <v>1104842</v>
      </c>
      <c r="R52" s="141">
        <v>912145</v>
      </c>
    </row>
    <row r="53" spans="1:29" ht="16.05" hidden="1" customHeight="1" outlineLevel="1">
      <c r="A53" s="46"/>
      <c r="B53" s="652"/>
      <c r="C53" s="611"/>
      <c r="D53" s="140" t="s">
        <v>96</v>
      </c>
      <c r="E53" s="140">
        <v>401</v>
      </c>
      <c r="F53" s="140" t="s">
        <v>105</v>
      </c>
      <c r="G53" s="141"/>
      <c r="H53" s="255">
        <v>498287</v>
      </c>
      <c r="I53" s="255">
        <v>390106</v>
      </c>
      <c r="J53" s="255">
        <v>367351</v>
      </c>
      <c r="K53" s="255">
        <v>385133</v>
      </c>
      <c r="L53" s="255">
        <v>357741</v>
      </c>
      <c r="M53" s="255">
        <v>357797</v>
      </c>
      <c r="N53" s="255">
        <v>370294</v>
      </c>
      <c r="O53" s="255">
        <v>393690</v>
      </c>
      <c r="P53" s="255">
        <v>399203</v>
      </c>
      <c r="Q53" s="255">
        <v>398270</v>
      </c>
      <c r="R53" s="383">
        <v>564869</v>
      </c>
    </row>
    <row r="54" spans="1:29" ht="16.05" hidden="1" customHeight="1" outlineLevel="1">
      <c r="A54" s="46"/>
      <c r="B54" s="652"/>
      <c r="C54" s="611"/>
      <c r="D54" s="140" t="s">
        <v>96</v>
      </c>
      <c r="E54" s="140">
        <v>403</v>
      </c>
      <c r="F54" s="140" t="s">
        <v>106</v>
      </c>
      <c r="G54" s="141"/>
      <c r="H54" s="255">
        <v>578310</v>
      </c>
      <c r="I54" s="255">
        <v>585689</v>
      </c>
      <c r="J54" s="255">
        <v>576174</v>
      </c>
      <c r="K54" s="255">
        <v>594210</v>
      </c>
      <c r="L54" s="255">
        <v>623658</v>
      </c>
      <c r="M54" s="255">
        <v>623086</v>
      </c>
      <c r="N54" s="255">
        <v>583636</v>
      </c>
      <c r="O54" s="255">
        <v>621793</v>
      </c>
      <c r="P54" s="255">
        <v>399622</v>
      </c>
      <c r="Q54" s="255">
        <v>346091</v>
      </c>
      <c r="R54" s="383">
        <v>486048</v>
      </c>
    </row>
    <row r="55" spans="1:29" ht="16.05" hidden="1" customHeight="1" outlineLevel="1">
      <c r="A55" s="46"/>
      <c r="B55" s="652"/>
      <c r="C55" s="611"/>
      <c r="D55" s="140" t="s">
        <v>96</v>
      </c>
      <c r="E55" s="140">
        <v>404</v>
      </c>
      <c r="F55" s="140" t="s">
        <v>107</v>
      </c>
      <c r="G55" s="255">
        <v>216926</v>
      </c>
      <c r="H55" s="255">
        <v>251477</v>
      </c>
      <c r="I55" s="255">
        <v>36935</v>
      </c>
      <c r="J55" s="255">
        <v>318061</v>
      </c>
      <c r="K55" s="255">
        <v>328894</v>
      </c>
      <c r="L55" s="255">
        <v>290737</v>
      </c>
      <c r="M55" s="255">
        <v>297128</v>
      </c>
      <c r="N55" s="255">
        <v>277573</v>
      </c>
      <c r="O55" s="519">
        <v>538560</v>
      </c>
      <c r="P55" s="519">
        <v>545791</v>
      </c>
      <c r="Q55" s="518">
        <v>601332</v>
      </c>
      <c r="R55" s="141">
        <v>490257</v>
      </c>
    </row>
    <row r="56" spans="1:29" ht="16.05" hidden="1" customHeight="1" outlineLevel="1">
      <c r="A56" s="46"/>
      <c r="B56" s="652"/>
      <c r="C56" s="611"/>
      <c r="D56" s="140" t="s">
        <v>96</v>
      </c>
      <c r="E56" s="140">
        <v>407</v>
      </c>
      <c r="F56" s="140" t="s">
        <v>108</v>
      </c>
      <c r="G56" s="255">
        <v>47507</v>
      </c>
      <c r="H56" s="255">
        <v>51580</v>
      </c>
      <c r="I56" s="255">
        <v>44850</v>
      </c>
      <c r="J56" s="255">
        <v>46340</v>
      </c>
      <c r="K56" s="255">
        <v>50840</v>
      </c>
      <c r="L56" s="255">
        <v>47560</v>
      </c>
      <c r="M56" s="255">
        <v>48261</v>
      </c>
      <c r="N56" s="255">
        <v>51609</v>
      </c>
      <c r="O56" s="255">
        <v>55112.400000000023</v>
      </c>
      <c r="P56" s="255">
        <v>34693.399999999907</v>
      </c>
      <c r="Q56" s="255">
        <v>45998.199999999953</v>
      </c>
      <c r="R56" s="141">
        <v>34255</v>
      </c>
    </row>
    <row r="57" spans="1:29" ht="16.05" hidden="1" customHeight="1" outlineLevel="1">
      <c r="A57" s="46"/>
      <c r="B57" s="652"/>
      <c r="C57" s="611"/>
      <c r="D57" s="140" t="s">
        <v>96</v>
      </c>
      <c r="E57" s="140">
        <v>601</v>
      </c>
      <c r="F57" s="140" t="s">
        <v>109</v>
      </c>
      <c r="G57" s="255">
        <v>174340</v>
      </c>
      <c r="H57" s="255">
        <v>151680</v>
      </c>
      <c r="I57" s="255">
        <v>135260</v>
      </c>
      <c r="J57" s="255">
        <v>120890</v>
      </c>
      <c r="K57" s="255">
        <v>131500</v>
      </c>
      <c r="L57" s="255">
        <v>112370</v>
      </c>
      <c r="M57" s="255">
        <v>108724</v>
      </c>
      <c r="N57" s="255">
        <v>109765</v>
      </c>
      <c r="O57" s="255">
        <v>111816.32000000007</v>
      </c>
      <c r="P57" s="255">
        <v>90239.219999999972</v>
      </c>
      <c r="Q57" s="255">
        <v>105251.76000000001</v>
      </c>
      <c r="R57" s="141">
        <v>70894</v>
      </c>
      <c r="AC57" s="386"/>
    </row>
    <row r="58" spans="1:29" ht="16.05" hidden="1" customHeight="1" outlineLevel="1">
      <c r="A58" s="46"/>
      <c r="B58" s="652"/>
      <c r="C58" s="611"/>
      <c r="D58" s="140" t="s">
        <v>96</v>
      </c>
      <c r="E58" s="140">
        <v>405</v>
      </c>
      <c r="F58" s="140" t="s">
        <v>110</v>
      </c>
      <c r="G58" s="255"/>
      <c r="H58" s="255">
        <v>66525</v>
      </c>
      <c r="I58" s="255">
        <v>53540</v>
      </c>
      <c r="J58" s="255">
        <v>330287</v>
      </c>
      <c r="K58" s="255">
        <v>330953</v>
      </c>
      <c r="L58" s="255">
        <v>360959</v>
      </c>
      <c r="M58" s="255">
        <v>360344</v>
      </c>
      <c r="N58" s="255">
        <v>320202</v>
      </c>
      <c r="O58" s="255">
        <v>339052</v>
      </c>
      <c r="P58" s="255">
        <v>342393</v>
      </c>
      <c r="Q58" s="255">
        <v>346023</v>
      </c>
      <c r="R58" s="141">
        <v>306921</v>
      </c>
      <c r="AC58" s="386"/>
    </row>
    <row r="59" spans="1:29" ht="16.05" hidden="1" customHeight="1" outlineLevel="1">
      <c r="A59" s="46"/>
      <c r="B59" s="652"/>
      <c r="C59" s="611"/>
      <c r="D59" s="140" t="s">
        <v>96</v>
      </c>
      <c r="E59" s="140">
        <v>501</v>
      </c>
      <c r="F59" s="140" t="s">
        <v>111</v>
      </c>
      <c r="G59" s="255"/>
      <c r="H59" s="255">
        <v>534547</v>
      </c>
      <c r="I59" s="255">
        <v>477589</v>
      </c>
      <c r="J59" s="255">
        <v>480279</v>
      </c>
      <c r="K59" s="255">
        <v>551734</v>
      </c>
      <c r="L59" s="255">
        <v>495241</v>
      </c>
      <c r="M59" s="255">
        <v>502591</v>
      </c>
      <c r="N59" s="255">
        <v>493328</v>
      </c>
      <c r="O59" s="255">
        <v>468117</v>
      </c>
      <c r="P59" s="255">
        <v>397360.5</v>
      </c>
      <c r="Q59" s="255">
        <v>542319</v>
      </c>
      <c r="R59" s="141">
        <v>390035</v>
      </c>
      <c r="AC59" s="386"/>
    </row>
    <row r="60" spans="1:29" ht="16.05" hidden="1" customHeight="1" outlineLevel="1">
      <c r="A60" s="46"/>
      <c r="B60" s="652"/>
      <c r="C60" s="611"/>
      <c r="D60" s="140" t="s">
        <v>96</v>
      </c>
      <c r="E60" s="140">
        <v>502</v>
      </c>
      <c r="F60" s="140" t="s">
        <v>112</v>
      </c>
      <c r="G60" s="255"/>
      <c r="H60" s="255">
        <v>1017500</v>
      </c>
      <c r="I60" s="255">
        <v>818923</v>
      </c>
      <c r="J60" s="255">
        <v>1060148</v>
      </c>
      <c r="K60" s="255">
        <v>984619</v>
      </c>
      <c r="L60" s="255">
        <v>950050</v>
      </c>
      <c r="M60" s="255">
        <v>870994</v>
      </c>
      <c r="N60" s="255">
        <v>887469</v>
      </c>
      <c r="O60" s="255">
        <v>1152479</v>
      </c>
      <c r="P60" s="255">
        <v>1121044</v>
      </c>
      <c r="Q60" s="255">
        <v>966734.79999999993</v>
      </c>
      <c r="R60" s="141">
        <v>853551</v>
      </c>
    </row>
    <row r="61" spans="1:29" ht="16.05" hidden="1" customHeight="1" outlineLevel="1">
      <c r="A61" s="46"/>
      <c r="B61" s="652"/>
      <c r="C61" s="611"/>
      <c r="D61" s="140" t="s">
        <v>96</v>
      </c>
      <c r="E61" s="140">
        <v>504</v>
      </c>
      <c r="F61" s="140" t="s">
        <v>113</v>
      </c>
      <c r="G61" s="255"/>
      <c r="H61" s="255">
        <v>224081</v>
      </c>
      <c r="I61" s="255">
        <v>228836</v>
      </c>
      <c r="J61" s="255">
        <v>201853</v>
      </c>
      <c r="K61" s="255">
        <v>189848</v>
      </c>
      <c r="L61" s="255">
        <v>180654</v>
      </c>
      <c r="M61" s="255">
        <v>171757</v>
      </c>
      <c r="N61" s="255">
        <v>175598</v>
      </c>
      <c r="O61" s="255">
        <v>166350.60000000009</v>
      </c>
      <c r="P61" s="255">
        <v>205148</v>
      </c>
      <c r="Q61" s="255">
        <v>203319.80000000005</v>
      </c>
      <c r="R61" s="141">
        <v>180567</v>
      </c>
    </row>
    <row r="62" spans="1:29" ht="16.05" hidden="1" customHeight="1" outlineLevel="1">
      <c r="A62" s="46"/>
      <c r="B62" s="652"/>
      <c r="C62" s="611"/>
      <c r="D62" s="140" t="s">
        <v>96</v>
      </c>
      <c r="E62" s="140">
        <v>406</v>
      </c>
      <c r="F62" s="140" t="s">
        <v>114</v>
      </c>
      <c r="G62" s="255"/>
      <c r="H62" s="255">
        <v>407945</v>
      </c>
      <c r="I62" s="255">
        <v>897777</v>
      </c>
      <c r="J62" s="255">
        <v>825937</v>
      </c>
      <c r="K62" s="255">
        <v>835388</v>
      </c>
      <c r="L62" s="255">
        <v>823071</v>
      </c>
      <c r="M62" s="255">
        <v>910148</v>
      </c>
      <c r="N62" s="255">
        <v>878705</v>
      </c>
      <c r="O62" s="255">
        <v>964764</v>
      </c>
      <c r="P62" s="255">
        <v>838528</v>
      </c>
      <c r="Q62" s="255">
        <v>969527</v>
      </c>
      <c r="R62" s="141">
        <v>923578</v>
      </c>
    </row>
    <row r="63" spans="1:29" ht="16.05" hidden="1" customHeight="1" outlineLevel="1">
      <c r="A63" s="46"/>
      <c r="B63" s="652"/>
      <c r="C63" s="611"/>
      <c r="D63" s="140" t="s">
        <v>96</v>
      </c>
      <c r="E63" s="143">
        <v>409</v>
      </c>
      <c r="F63" s="140" t="s">
        <v>115</v>
      </c>
      <c r="G63" s="256">
        <v>86450</v>
      </c>
      <c r="H63" s="256">
        <v>85010</v>
      </c>
      <c r="I63" s="256">
        <v>41420</v>
      </c>
      <c r="J63" s="256">
        <v>39000</v>
      </c>
      <c r="K63" s="256">
        <v>40730</v>
      </c>
      <c r="L63" s="256">
        <v>42490</v>
      </c>
      <c r="M63" s="256">
        <v>49705</v>
      </c>
      <c r="N63" s="256">
        <v>20300</v>
      </c>
      <c r="O63" s="256">
        <v>22113</v>
      </c>
      <c r="P63" s="256">
        <v>28630.75</v>
      </c>
      <c r="Q63" s="256">
        <v>30412.5</v>
      </c>
      <c r="R63" s="144">
        <v>13033</v>
      </c>
    </row>
    <row r="64" spans="1:29" ht="16.05" hidden="1" customHeight="1" outlineLevel="1">
      <c r="A64" s="46"/>
      <c r="B64" s="652"/>
      <c r="C64" s="611"/>
      <c r="D64" s="140" t="s">
        <v>96</v>
      </c>
      <c r="E64" s="140">
        <v>705</v>
      </c>
      <c r="F64" s="140" t="s">
        <v>116</v>
      </c>
      <c r="G64" s="141"/>
      <c r="H64" s="255">
        <v>34977</v>
      </c>
      <c r="I64" s="255">
        <v>43948</v>
      </c>
      <c r="J64" s="255">
        <v>40401</v>
      </c>
      <c r="K64" s="255">
        <v>31810</v>
      </c>
      <c r="L64" s="255">
        <v>15700</v>
      </c>
      <c r="M64" s="255">
        <v>26950</v>
      </c>
      <c r="N64" s="255">
        <v>30590</v>
      </c>
      <c r="O64" s="255">
        <v>40760</v>
      </c>
      <c r="P64" s="255">
        <v>36040</v>
      </c>
      <c r="Q64" s="255">
        <v>40420</v>
      </c>
      <c r="R64" s="141">
        <v>35040</v>
      </c>
    </row>
    <row r="65" spans="1:18" ht="16.05" hidden="1" customHeight="1" outlineLevel="1">
      <c r="A65" s="46"/>
      <c r="B65" s="652"/>
      <c r="C65" s="611"/>
      <c r="D65" s="140" t="s">
        <v>96</v>
      </c>
      <c r="E65" s="140">
        <v>324</v>
      </c>
      <c r="F65" s="140" t="s">
        <v>88</v>
      </c>
      <c r="G65" s="141"/>
      <c r="H65" s="141"/>
      <c r="I65" s="141"/>
      <c r="J65" s="141"/>
      <c r="K65" s="141"/>
      <c r="L65" s="141"/>
      <c r="M65" s="141"/>
      <c r="N65" s="255">
        <v>29257</v>
      </c>
      <c r="O65" s="255">
        <v>0</v>
      </c>
      <c r="P65" s="255">
        <v>448389</v>
      </c>
      <c r="Q65" s="142">
        <v>415361</v>
      </c>
      <c r="R65" s="141">
        <v>346773</v>
      </c>
    </row>
    <row r="66" spans="1:18" ht="16.05" hidden="1" customHeight="1" outlineLevel="1">
      <c r="A66" s="46"/>
      <c r="B66" s="652"/>
      <c r="C66" s="611"/>
      <c r="D66" s="140" t="s">
        <v>96</v>
      </c>
      <c r="E66" s="140">
        <v>308</v>
      </c>
      <c r="F66" s="140" t="s">
        <v>86</v>
      </c>
      <c r="G66" s="141"/>
      <c r="H66" s="141"/>
      <c r="I66" s="141"/>
      <c r="J66" s="141"/>
      <c r="K66" s="141"/>
      <c r="L66" s="141"/>
      <c r="M66" s="141"/>
      <c r="N66" s="141"/>
      <c r="O66" s="141">
        <v>365252</v>
      </c>
      <c r="P66" s="142">
        <v>20788</v>
      </c>
      <c r="Q66" s="142">
        <v>20346</v>
      </c>
      <c r="R66" s="141">
        <v>13163</v>
      </c>
    </row>
    <row r="67" spans="1:18" ht="16.05" hidden="1" customHeight="1" outlineLevel="1">
      <c r="A67" s="46"/>
      <c r="B67" s="652"/>
      <c r="C67" s="611"/>
      <c r="D67" s="140" t="s">
        <v>96</v>
      </c>
      <c r="E67" s="140">
        <v>321</v>
      </c>
      <c r="F67" s="140" t="s">
        <v>87</v>
      </c>
      <c r="G67" s="141"/>
      <c r="H67" s="141"/>
      <c r="I67" s="141"/>
      <c r="J67" s="141"/>
      <c r="K67" s="141"/>
      <c r="L67" s="141"/>
      <c r="M67" s="141"/>
      <c r="N67" s="141"/>
      <c r="O67" s="141">
        <v>286008</v>
      </c>
      <c r="P67" s="142">
        <v>257023</v>
      </c>
      <c r="Q67" s="142">
        <v>229186</v>
      </c>
      <c r="R67" s="141">
        <v>193354</v>
      </c>
    </row>
    <row r="68" spans="1:18" ht="16.05" customHeight="1" collapsed="1">
      <c r="A68" s="46"/>
      <c r="B68" s="652"/>
      <c r="C68" s="611"/>
      <c r="D68" s="140" t="s">
        <v>96</v>
      </c>
      <c r="E68" s="140"/>
      <c r="F68" s="140" t="s">
        <v>95</v>
      </c>
      <c r="G68" s="141"/>
      <c r="H68" s="141"/>
      <c r="I68" s="141">
        <f t="shared" ref="I68:R68" si="2">SUM(I45:I67)</f>
        <v>6123838</v>
      </c>
      <c r="J68" s="141">
        <f t="shared" si="2"/>
        <v>7026578</v>
      </c>
      <c r="K68" s="141">
        <f t="shared" si="2"/>
        <v>7103283</v>
      </c>
      <c r="L68" s="141">
        <f t="shared" si="2"/>
        <v>6948769</v>
      </c>
      <c r="M68" s="141">
        <f t="shared" si="2"/>
        <v>7216734</v>
      </c>
      <c r="N68" s="141">
        <f t="shared" si="2"/>
        <v>7044479</v>
      </c>
      <c r="O68" s="141">
        <f t="shared" si="2"/>
        <v>8251060.1800000016</v>
      </c>
      <c r="P68" s="141">
        <f t="shared" si="2"/>
        <v>7696080.8700000001</v>
      </c>
      <c r="Q68" s="141">
        <f t="shared" si="2"/>
        <v>8128622.0599999996</v>
      </c>
      <c r="R68" s="141">
        <f t="shared" si="2"/>
        <v>7156392</v>
      </c>
    </row>
    <row r="69" spans="1:18" ht="16.05" hidden="1" customHeight="1" outlineLevel="1">
      <c r="A69" s="46"/>
      <c r="B69" s="652"/>
      <c r="C69" s="611"/>
      <c r="D69" s="143" t="s">
        <v>117</v>
      </c>
      <c r="E69" s="143">
        <v>300</v>
      </c>
      <c r="F69" s="143" t="s">
        <v>118</v>
      </c>
      <c r="G69" s="144"/>
      <c r="H69" s="144"/>
      <c r="I69" s="256">
        <v>323048</v>
      </c>
      <c r="J69" s="256">
        <v>356758</v>
      </c>
      <c r="K69" s="256">
        <v>368542</v>
      </c>
      <c r="L69" s="256">
        <v>332591</v>
      </c>
      <c r="M69" s="256">
        <v>335481</v>
      </c>
      <c r="N69" s="256">
        <v>305522</v>
      </c>
      <c r="O69" s="256">
        <v>285787.60000000009</v>
      </c>
      <c r="P69" s="256">
        <v>299240.39999999991</v>
      </c>
      <c r="Q69" s="256">
        <v>301028.39999999991</v>
      </c>
      <c r="R69" s="144">
        <v>239013</v>
      </c>
    </row>
    <row r="70" spans="1:18" ht="16.05" hidden="1" customHeight="1" outlineLevel="1">
      <c r="A70" s="46"/>
      <c r="B70" s="652"/>
      <c r="C70" s="611"/>
      <c r="D70" s="143" t="s">
        <v>117</v>
      </c>
      <c r="E70" s="143">
        <v>209</v>
      </c>
      <c r="F70" s="143" t="s">
        <v>119</v>
      </c>
      <c r="G70" s="144"/>
      <c r="H70" s="144"/>
      <c r="I70" s="256">
        <v>133962</v>
      </c>
      <c r="J70" s="256">
        <v>158294</v>
      </c>
      <c r="K70" s="256">
        <v>169254</v>
      </c>
      <c r="L70" s="256">
        <v>167954</v>
      </c>
      <c r="M70" s="256">
        <v>172182</v>
      </c>
      <c r="N70" s="256">
        <v>165418</v>
      </c>
      <c r="O70" s="429">
        <v>11352</v>
      </c>
      <c r="P70" s="256">
        <v>139141</v>
      </c>
      <c r="Q70" s="429">
        <v>160503</v>
      </c>
      <c r="R70" s="384">
        <v>148738</v>
      </c>
    </row>
    <row r="71" spans="1:18" ht="16.05" hidden="1" customHeight="1" outlineLevel="1">
      <c r="A71" s="46"/>
      <c r="B71" s="652"/>
      <c r="C71" s="611"/>
      <c r="D71" s="143" t="s">
        <v>117</v>
      </c>
      <c r="E71" s="143">
        <v>210</v>
      </c>
      <c r="F71" s="143" t="s">
        <v>120</v>
      </c>
      <c r="G71" s="144"/>
      <c r="H71" s="144"/>
      <c r="I71" s="256">
        <v>7995</v>
      </c>
      <c r="J71" s="256">
        <v>20942</v>
      </c>
      <c r="K71" s="256">
        <v>22406</v>
      </c>
      <c r="L71" s="256">
        <v>23476</v>
      </c>
      <c r="M71" s="256">
        <v>21777</v>
      </c>
      <c r="N71" s="256">
        <v>19679</v>
      </c>
      <c r="O71" s="256">
        <v>17948</v>
      </c>
      <c r="P71" s="256">
        <v>17523</v>
      </c>
      <c r="Q71" s="256">
        <v>17388</v>
      </c>
      <c r="R71" s="144">
        <v>13319</v>
      </c>
    </row>
    <row r="72" spans="1:18" ht="16.05" hidden="1" customHeight="1" outlineLevel="1">
      <c r="A72" s="46"/>
      <c r="B72" s="652"/>
      <c r="C72" s="611"/>
      <c r="D72" s="143" t="s">
        <v>117</v>
      </c>
      <c r="E72" s="143">
        <v>201</v>
      </c>
      <c r="F72" s="143" t="s">
        <v>121</v>
      </c>
      <c r="G72" s="144"/>
      <c r="H72" s="144"/>
      <c r="I72" s="256">
        <v>10738</v>
      </c>
      <c r="J72" s="256">
        <v>30265</v>
      </c>
      <c r="K72" s="256">
        <v>29613</v>
      </c>
      <c r="L72" s="256">
        <v>33902</v>
      </c>
      <c r="M72" s="256">
        <v>27180</v>
      </c>
      <c r="N72" s="256">
        <v>30471</v>
      </c>
      <c r="O72" s="256">
        <v>31476</v>
      </c>
      <c r="P72" s="256">
        <v>33996</v>
      </c>
      <c r="Q72" s="256">
        <v>35821</v>
      </c>
      <c r="R72" s="144">
        <v>49952</v>
      </c>
    </row>
    <row r="73" spans="1:18" ht="16.05" hidden="1" customHeight="1" outlineLevel="1">
      <c r="A73" s="46"/>
      <c r="B73" s="652"/>
      <c r="C73" s="611"/>
      <c r="D73" s="143" t="s">
        <v>117</v>
      </c>
      <c r="E73" s="143">
        <v>206</v>
      </c>
      <c r="F73" s="143" t="s">
        <v>122</v>
      </c>
      <c r="G73" s="144"/>
      <c r="H73" s="144"/>
      <c r="I73" s="256">
        <v>1126</v>
      </c>
      <c r="J73" s="256">
        <v>4400</v>
      </c>
      <c r="K73" s="256">
        <v>10432</v>
      </c>
      <c r="L73" s="256">
        <v>11478</v>
      </c>
      <c r="M73" s="256">
        <v>12175</v>
      </c>
      <c r="N73" s="256">
        <v>13177</v>
      </c>
      <c r="O73" s="256">
        <v>13957</v>
      </c>
      <c r="P73" s="256">
        <v>12350</v>
      </c>
      <c r="Q73" s="256">
        <v>12231</v>
      </c>
      <c r="R73" s="144">
        <v>10076</v>
      </c>
    </row>
    <row r="74" spans="1:18" ht="16.05" hidden="1" customHeight="1" outlineLevel="1">
      <c r="A74" s="46"/>
      <c r="B74" s="652"/>
      <c r="C74" s="611"/>
      <c r="D74" s="140" t="s">
        <v>117</v>
      </c>
      <c r="E74" s="140">
        <v>103</v>
      </c>
      <c r="F74" s="140" t="s">
        <v>123</v>
      </c>
      <c r="G74" s="141"/>
      <c r="H74" s="141"/>
      <c r="I74" s="255">
        <v>30000</v>
      </c>
      <c r="J74" s="255">
        <v>33789</v>
      </c>
      <c r="K74" s="255">
        <v>30130</v>
      </c>
      <c r="L74" s="255">
        <v>33070</v>
      </c>
      <c r="M74" s="255">
        <v>37897</v>
      </c>
      <c r="N74" s="255">
        <v>36349</v>
      </c>
      <c r="O74" s="255">
        <v>37407.839999999997</v>
      </c>
      <c r="P74" s="255">
        <v>33637.160000000003</v>
      </c>
      <c r="Q74" s="255">
        <v>33637</v>
      </c>
      <c r="R74" s="141">
        <v>24085</v>
      </c>
    </row>
    <row r="75" spans="1:18" ht="16.05" hidden="1" customHeight="1" outlineLevel="1">
      <c r="A75" s="46"/>
      <c r="B75" s="652"/>
      <c r="C75" s="611"/>
      <c r="D75" s="140" t="s">
        <v>117</v>
      </c>
      <c r="E75" s="140"/>
      <c r="F75" s="140" t="s">
        <v>124</v>
      </c>
      <c r="G75" s="141"/>
      <c r="H75" s="141"/>
      <c r="I75" s="255">
        <v>400000</v>
      </c>
      <c r="J75" s="255">
        <v>400000</v>
      </c>
      <c r="K75" s="255">
        <v>400000</v>
      </c>
      <c r="L75" s="255">
        <v>396824</v>
      </c>
      <c r="M75" s="255">
        <v>460546</v>
      </c>
      <c r="N75" s="255">
        <v>425319</v>
      </c>
      <c r="O75" s="255">
        <v>406558</v>
      </c>
      <c r="P75" s="255">
        <v>415643</v>
      </c>
      <c r="Q75" s="255">
        <v>404527</v>
      </c>
      <c r="R75" s="141">
        <v>307036</v>
      </c>
    </row>
    <row r="76" spans="1:18" ht="16.05" hidden="1" customHeight="1" outlineLevel="1">
      <c r="A76" s="46"/>
      <c r="B76" s="652"/>
      <c r="C76" s="611"/>
      <c r="D76" s="140" t="s">
        <v>117</v>
      </c>
      <c r="E76" s="140"/>
      <c r="F76" s="140" t="s">
        <v>125</v>
      </c>
      <c r="G76" s="141"/>
      <c r="H76" s="141"/>
      <c r="I76" s="255">
        <v>50000</v>
      </c>
      <c r="J76" s="255">
        <v>50000</v>
      </c>
      <c r="K76" s="255">
        <v>50000</v>
      </c>
      <c r="L76" s="255">
        <v>49222</v>
      </c>
      <c r="M76" s="255">
        <v>44833</v>
      </c>
      <c r="N76" s="255">
        <v>37513</v>
      </c>
      <c r="O76" s="255">
        <v>46382</v>
      </c>
      <c r="P76" s="255">
        <v>45707</v>
      </c>
      <c r="Q76" s="255">
        <v>47165</v>
      </c>
      <c r="R76" s="141">
        <v>29793</v>
      </c>
    </row>
    <row r="77" spans="1:18" ht="16.05" hidden="1" customHeight="1" outlineLevel="1">
      <c r="A77" s="46"/>
      <c r="B77" s="652"/>
      <c r="C77" s="611"/>
      <c r="D77" s="140" t="s">
        <v>117</v>
      </c>
      <c r="E77" s="140">
        <v>602</v>
      </c>
      <c r="F77" s="140" t="s">
        <v>126</v>
      </c>
      <c r="G77" s="255">
        <v>38820</v>
      </c>
      <c r="H77" s="255">
        <v>35400</v>
      </c>
      <c r="I77" s="255">
        <v>55140</v>
      </c>
      <c r="J77" s="255">
        <v>62350</v>
      </c>
      <c r="K77" s="255">
        <v>85600</v>
      </c>
      <c r="L77" s="255">
        <v>66500</v>
      </c>
      <c r="M77" s="255">
        <v>53981</v>
      </c>
      <c r="N77" s="255">
        <v>58433</v>
      </c>
      <c r="O77" s="255">
        <v>65587.45000000007</v>
      </c>
      <c r="P77" s="255">
        <v>64602.42499999993</v>
      </c>
      <c r="Q77" s="255">
        <v>76394.29999999993</v>
      </c>
      <c r="R77" s="141">
        <v>46199</v>
      </c>
    </row>
    <row r="78" spans="1:18" ht="16.05" hidden="1" customHeight="1" outlineLevel="1">
      <c r="A78" s="46"/>
      <c r="B78" s="652"/>
      <c r="C78" s="611"/>
      <c r="D78" s="140" t="s">
        <v>117</v>
      </c>
      <c r="E78" s="140">
        <v>408</v>
      </c>
      <c r="F78" s="140" t="s">
        <v>127</v>
      </c>
      <c r="G78" s="255"/>
      <c r="H78" s="255">
        <v>4641</v>
      </c>
      <c r="I78" s="255">
        <v>6304</v>
      </c>
      <c r="J78" s="255">
        <v>5418</v>
      </c>
      <c r="K78" s="255">
        <v>6622</v>
      </c>
      <c r="L78" s="255">
        <v>4701</v>
      </c>
      <c r="M78" s="255">
        <v>4389</v>
      </c>
      <c r="N78" s="255">
        <v>16743</v>
      </c>
      <c r="O78" s="255"/>
      <c r="P78" s="255"/>
      <c r="Q78" s="255"/>
      <c r="R78" s="141"/>
    </row>
    <row r="79" spans="1:18" ht="16.05" customHeight="1" collapsed="1">
      <c r="A79" s="46"/>
      <c r="B79" s="652"/>
      <c r="C79" s="611"/>
      <c r="D79" s="140" t="s">
        <v>117</v>
      </c>
      <c r="E79" s="140"/>
      <c r="F79" s="140" t="s">
        <v>95</v>
      </c>
      <c r="G79" s="141"/>
      <c r="H79" s="141"/>
      <c r="I79" s="141">
        <f t="shared" ref="I79:O79" si="3">SUM(I69:I78)</f>
        <v>1018313</v>
      </c>
      <c r="J79" s="141">
        <f t="shared" si="3"/>
        <v>1122216</v>
      </c>
      <c r="K79" s="141">
        <f t="shared" si="3"/>
        <v>1172599</v>
      </c>
      <c r="L79" s="141">
        <f t="shared" si="3"/>
        <v>1119718</v>
      </c>
      <c r="M79" s="141">
        <f t="shared" si="3"/>
        <v>1170441</v>
      </c>
      <c r="N79" s="141">
        <f t="shared" si="3"/>
        <v>1108624</v>
      </c>
      <c r="O79" s="141">
        <f t="shared" si="3"/>
        <v>916455.89000000013</v>
      </c>
      <c r="P79" s="141">
        <f>SUM(P69:P78)</f>
        <v>1061839.9849999999</v>
      </c>
      <c r="Q79" s="141">
        <f>SUM(Q69:Q78)</f>
        <v>1088694.6999999997</v>
      </c>
      <c r="R79" s="141">
        <f>SUM(R69:R78)</f>
        <v>868211</v>
      </c>
    </row>
    <row r="80" spans="1:18" ht="16.05" customHeight="1">
      <c r="A80" s="46"/>
      <c r="B80" s="652"/>
      <c r="C80" s="611"/>
      <c r="D80" s="134" t="s">
        <v>128</v>
      </c>
      <c r="E80" s="134"/>
      <c r="F80" s="134" t="s">
        <v>36</v>
      </c>
      <c r="G80" s="135"/>
      <c r="H80" s="135"/>
      <c r="I80" s="135">
        <f t="shared" ref="I80:R80" si="4">I44+I68+I79</f>
        <v>7183280</v>
      </c>
      <c r="J80" s="135">
        <f t="shared" si="4"/>
        <v>8222083</v>
      </c>
      <c r="K80" s="135">
        <f t="shared" si="4"/>
        <v>8381931</v>
      </c>
      <c r="L80" s="135">
        <f t="shared" si="4"/>
        <v>8171626</v>
      </c>
      <c r="M80" s="135">
        <f t="shared" si="4"/>
        <v>8468568</v>
      </c>
      <c r="N80" s="135">
        <f t="shared" si="4"/>
        <v>8251840</v>
      </c>
      <c r="O80" s="135">
        <f t="shared" si="4"/>
        <v>9263147.7700000014</v>
      </c>
      <c r="P80" s="135">
        <f t="shared" si="4"/>
        <v>8834766.3550000004</v>
      </c>
      <c r="Q80" s="135">
        <f t="shared" si="4"/>
        <v>9292534.8099999987</v>
      </c>
      <c r="R80" s="135">
        <f t="shared" si="4"/>
        <v>8082767</v>
      </c>
    </row>
    <row r="81" spans="1:18" ht="16.05" hidden="1" customHeight="1" outlineLevel="1">
      <c r="A81" s="46"/>
      <c r="B81" s="652"/>
      <c r="C81" s="611"/>
      <c r="D81" s="123" t="s">
        <v>129</v>
      </c>
      <c r="E81" s="123">
        <v>704</v>
      </c>
      <c r="F81" s="123" t="s">
        <v>130</v>
      </c>
      <c r="G81" s="255">
        <v>239850</v>
      </c>
      <c r="H81" s="255">
        <v>548980</v>
      </c>
      <c r="I81" s="255">
        <v>965544</v>
      </c>
      <c r="J81" s="255">
        <v>945116</v>
      </c>
      <c r="K81" s="255">
        <v>932855</v>
      </c>
      <c r="L81" s="255">
        <v>1028601</v>
      </c>
      <c r="M81" s="255">
        <v>1023473</v>
      </c>
      <c r="N81" s="255">
        <v>925015</v>
      </c>
      <c r="O81" s="255">
        <v>1020866</v>
      </c>
      <c r="P81" s="255">
        <v>1004798</v>
      </c>
      <c r="Q81" s="255">
        <v>1058654</v>
      </c>
      <c r="R81" s="124">
        <v>716379</v>
      </c>
    </row>
    <row r="82" spans="1:18" ht="16.05" hidden="1" customHeight="1" outlineLevel="1">
      <c r="A82" s="46"/>
      <c r="B82" s="652"/>
      <c r="C82" s="611"/>
      <c r="D82" s="123" t="s">
        <v>129</v>
      </c>
      <c r="E82" s="123">
        <v>608</v>
      </c>
      <c r="F82" s="123" t="s">
        <v>131</v>
      </c>
      <c r="G82" s="255">
        <v>156413</v>
      </c>
      <c r="H82" s="255">
        <v>150912</v>
      </c>
      <c r="I82" s="255">
        <v>287387</v>
      </c>
      <c r="J82" s="255">
        <v>264478</v>
      </c>
      <c r="K82" s="255">
        <v>278483</v>
      </c>
      <c r="L82" s="255">
        <v>267936</v>
      </c>
      <c r="M82" s="255">
        <v>254653</v>
      </c>
      <c r="N82" s="255">
        <v>273409</v>
      </c>
      <c r="O82" s="255">
        <v>307837</v>
      </c>
      <c r="P82" s="255">
        <v>308635</v>
      </c>
      <c r="Q82" s="255">
        <v>306280</v>
      </c>
      <c r="R82" s="124">
        <v>201305</v>
      </c>
    </row>
    <row r="83" spans="1:18" ht="16.05" customHeight="1" collapsed="1">
      <c r="A83" s="46"/>
      <c r="B83" s="652"/>
      <c r="C83" s="611"/>
      <c r="D83" s="134" t="s">
        <v>129</v>
      </c>
      <c r="E83" s="134"/>
      <c r="F83" s="134" t="s">
        <v>36</v>
      </c>
      <c r="G83" s="135">
        <v>1250000</v>
      </c>
      <c r="H83" s="135">
        <v>1250000</v>
      </c>
      <c r="I83" s="135">
        <f t="shared" ref="I83:O83" si="5">SUM(I81:I82)</f>
        <v>1252931</v>
      </c>
      <c r="J83" s="135">
        <f t="shared" si="5"/>
        <v>1209594</v>
      </c>
      <c r="K83" s="135">
        <f t="shared" si="5"/>
        <v>1211338</v>
      </c>
      <c r="L83" s="135">
        <f t="shared" si="5"/>
        <v>1296537</v>
      </c>
      <c r="M83" s="135">
        <f t="shared" si="5"/>
        <v>1278126</v>
      </c>
      <c r="N83" s="135">
        <f t="shared" si="5"/>
        <v>1198424</v>
      </c>
      <c r="O83" s="135">
        <f t="shared" si="5"/>
        <v>1328703</v>
      </c>
      <c r="P83" s="135">
        <f>SUM(P81:P82)</f>
        <v>1313433</v>
      </c>
      <c r="Q83" s="135">
        <f>SUM(Q81:Q82)</f>
        <v>1364934</v>
      </c>
      <c r="R83" s="135">
        <f>SUM(R81:R82)</f>
        <v>917684</v>
      </c>
    </row>
    <row r="84" spans="1:18" ht="16.05" customHeight="1">
      <c r="A84" s="46"/>
      <c r="B84" s="652"/>
      <c r="C84" s="611"/>
      <c r="D84" s="130" t="s">
        <v>132</v>
      </c>
      <c r="E84" s="130"/>
      <c r="F84" s="130" t="s">
        <v>36</v>
      </c>
      <c r="G84" s="131">
        <v>13368149</v>
      </c>
      <c r="H84" s="131">
        <v>13744443</v>
      </c>
      <c r="I84" s="131">
        <v>13325246</v>
      </c>
      <c r="J84" s="131">
        <f t="shared" ref="J84:R84" si="6">J39+J80+J83</f>
        <v>12048085</v>
      </c>
      <c r="K84" s="131">
        <f t="shared" si="6"/>
        <v>12207944</v>
      </c>
      <c r="L84" s="131">
        <f t="shared" si="6"/>
        <v>11933674</v>
      </c>
      <c r="M84" s="131">
        <f t="shared" si="6"/>
        <v>12044390</v>
      </c>
      <c r="N84" s="131">
        <f t="shared" si="6"/>
        <v>11588903</v>
      </c>
      <c r="O84" s="131">
        <f t="shared" si="6"/>
        <v>12805369.770000001</v>
      </c>
      <c r="P84" s="131">
        <f>P39+P80+P83</f>
        <v>12201969.355</v>
      </c>
      <c r="Q84" s="131">
        <f t="shared" si="6"/>
        <v>12721177.809999999</v>
      </c>
      <c r="R84" s="131">
        <f t="shared" si="6"/>
        <v>10908849</v>
      </c>
    </row>
    <row r="85" spans="1:18" ht="16.05" hidden="1" customHeight="1" outlineLevel="1">
      <c r="A85" s="46"/>
      <c r="B85" s="652"/>
      <c r="C85" s="637" t="s">
        <v>802</v>
      </c>
      <c r="D85" s="118" t="s">
        <v>74</v>
      </c>
      <c r="E85" s="118">
        <v>105</v>
      </c>
      <c r="F85" s="118" t="s">
        <v>75</v>
      </c>
      <c r="G85" s="119">
        <f>G28*'Données Energie'!G$13</f>
        <v>11243.084000000001</v>
      </c>
      <c r="H85" s="119">
        <f>H28*'Données Energie'!H$13</f>
        <v>11454.6415</v>
      </c>
      <c r="I85" s="119">
        <f>I28*'Données Energie'!I$13</f>
        <v>15646.148999999999</v>
      </c>
      <c r="J85" s="119">
        <f>J28*'Données Energie'!J$13</f>
        <v>16407.285</v>
      </c>
      <c r="K85" s="119">
        <f>K28*'Données Energie'!K$13</f>
        <v>15155.712</v>
      </c>
      <c r="L85" s="119">
        <f>L28*'Données Energie'!L$13</f>
        <v>14101.8948</v>
      </c>
      <c r="M85" s="119">
        <f>M28*'Données Energie'!M$13</f>
        <v>11000.488800000001</v>
      </c>
      <c r="N85" s="119">
        <f>N28*'Données Energie'!N$13</f>
        <v>9012.1440000000002</v>
      </c>
      <c r="O85" s="119">
        <f>O28*'Données Energie'!O$13</f>
        <v>9664.5600000000013</v>
      </c>
      <c r="P85" s="119">
        <f>P28*'Données Energie'!P$13</f>
        <v>9663.6039999999994</v>
      </c>
      <c r="Q85" s="119">
        <f>Q28*'Données Energie'!Q$13</f>
        <v>9815.1899999999987</v>
      </c>
      <c r="R85" s="119">
        <f>R28*'Données Energie'!R$13</f>
        <v>8149.5147999999999</v>
      </c>
    </row>
    <row r="86" spans="1:18" ht="16.05" hidden="1" customHeight="1" outlineLevel="1">
      <c r="A86" s="46"/>
      <c r="B86" s="652"/>
      <c r="C86" s="637"/>
      <c r="D86" s="118" t="s">
        <v>74</v>
      </c>
      <c r="E86" s="118">
        <v>102</v>
      </c>
      <c r="F86" s="118" t="s">
        <v>76</v>
      </c>
      <c r="G86" s="119">
        <f>G29*'Données Energie'!G$13</f>
        <v>17154.134000000002</v>
      </c>
      <c r="H86" s="119">
        <f>H29*'Données Energie'!H$13</f>
        <v>15511.914000000001</v>
      </c>
      <c r="I86" s="119">
        <f>I29*'Données Energie'!I$13</f>
        <v>14700.695</v>
      </c>
      <c r="J86" s="119">
        <f>J29*'Données Energie'!J$13</f>
        <v>15208.59</v>
      </c>
      <c r="K86" s="119">
        <f>K29*'Données Energie'!K$13</f>
        <v>15268.044</v>
      </c>
      <c r="L86" s="119">
        <f>L29*'Données Energie'!L$13</f>
        <v>12491.324999999999</v>
      </c>
      <c r="M86" s="119">
        <f>M29*'Données Energie'!M$13</f>
        <v>10229.982</v>
      </c>
      <c r="N86" s="119">
        <f>N29*'Données Energie'!N$13</f>
        <v>8938.7999999999993</v>
      </c>
      <c r="O86" s="119">
        <f>O29*'Données Energie'!O$13</f>
        <v>8954.7839999999997</v>
      </c>
      <c r="P86" s="119">
        <f>P29*'Données Energie'!P$13</f>
        <v>8003.1359999999995</v>
      </c>
      <c r="Q86" s="119">
        <f>Q29*'Données Energie'!Q$13</f>
        <v>9504.405999999999</v>
      </c>
      <c r="R86" s="119">
        <f>R29*'Données Energie'!R$13</f>
        <v>8009.1691000000001</v>
      </c>
    </row>
    <row r="87" spans="1:18" ht="16.05" hidden="1" customHeight="1" outlineLevel="1">
      <c r="A87" s="46"/>
      <c r="B87" s="652"/>
      <c r="C87" s="637"/>
      <c r="D87" s="118" t="s">
        <v>74</v>
      </c>
      <c r="E87" s="118">
        <v>706</v>
      </c>
      <c r="F87" s="118" t="s">
        <v>77</v>
      </c>
      <c r="G87" s="119">
        <f>G30*'Données Energie'!G$13</f>
        <v>14742.614</v>
      </c>
      <c r="H87" s="119">
        <f>H30*'Données Energie'!H$13</f>
        <v>14995.7765</v>
      </c>
      <c r="I87" s="119">
        <f>I30*'Données Energie'!I$13</f>
        <v>14327.7415</v>
      </c>
      <c r="J87" s="119">
        <f>J30*'Données Energie'!J$13</f>
        <v>14707.681500000001</v>
      </c>
      <c r="K87" s="119">
        <f>K30*'Données Energie'!K$13</f>
        <v>13513.539599999998</v>
      </c>
      <c r="L87" s="119">
        <f>L30*'Données Energie'!L$13</f>
        <v>12918.445399999999</v>
      </c>
      <c r="M87" s="119">
        <f>M30*'Données Energie'!M$13</f>
        <v>10114.332900000001</v>
      </c>
      <c r="N87" s="119">
        <f>N30*'Données Energie'!N$13</f>
        <v>9088.6394999999993</v>
      </c>
      <c r="O87" s="119">
        <f>O30*'Données Energie'!O$13</f>
        <v>8822.4264000000003</v>
      </c>
      <c r="P87" s="119">
        <f>P30*'Données Energie'!P$13</f>
        <v>7801.3445999999994</v>
      </c>
      <c r="Q87" s="119">
        <f>Q30*'Données Energie'!Q$13</f>
        <v>7975.6764999999996</v>
      </c>
      <c r="R87" s="119">
        <f>R30*'Données Energie'!R$13</f>
        <v>7699.9054000000006</v>
      </c>
    </row>
    <row r="88" spans="1:18" ht="16.05" hidden="1" customHeight="1" outlineLevel="1">
      <c r="A88" s="46"/>
      <c r="B88" s="652"/>
      <c r="C88" s="637"/>
      <c r="D88" s="118" t="s">
        <v>74</v>
      </c>
      <c r="E88" s="118">
        <v>703</v>
      </c>
      <c r="F88" s="118" t="s">
        <v>78</v>
      </c>
      <c r="G88" s="119">
        <f>G31*'Données Energie'!G$13</f>
        <v>425.54849999999999</v>
      </c>
      <c r="H88" s="119">
        <f>H31*'Données Energie'!H$13</f>
        <v>2183.7914999999998</v>
      </c>
      <c r="I88" s="119">
        <f>I31*'Données Energie'!I$13</f>
        <v>15829.682000000001</v>
      </c>
      <c r="J88" s="119">
        <f>J31*'Données Energie'!J$13</f>
        <v>14774.328</v>
      </c>
      <c r="K88" s="119">
        <f>K31*'Données Energie'!K$13</f>
        <v>14416.370099999998</v>
      </c>
      <c r="L88" s="119">
        <f>L31*'Données Energie'!L$13</f>
        <v>13049.595299999999</v>
      </c>
      <c r="M88" s="119">
        <f>M31*'Données Energie'!M$13</f>
        <v>10395.1428</v>
      </c>
      <c r="N88" s="119">
        <f>N31*'Données Energie'!N$13</f>
        <v>9763.8053999999993</v>
      </c>
      <c r="O88" s="119">
        <f>O31*'Données Energie'!O$13</f>
        <v>9668.5218000000004</v>
      </c>
      <c r="P88" s="119">
        <f>P31*'Données Energie'!P$13</f>
        <v>9570.0741999999991</v>
      </c>
      <c r="Q88" s="119">
        <f>Q31*'Données Energie'!Q$13</f>
        <v>10026.122499999999</v>
      </c>
      <c r="R88" s="119">
        <f>R31*'Données Energie'!R$13</f>
        <v>9305.2852999999996</v>
      </c>
    </row>
    <row r="89" spans="1:18" ht="16.05" hidden="1" customHeight="1" outlineLevel="1">
      <c r="A89" s="46"/>
      <c r="B89" s="652"/>
      <c r="C89" s="637"/>
      <c r="D89" s="118" t="s">
        <v>74</v>
      </c>
      <c r="E89" s="118">
        <v>605</v>
      </c>
      <c r="F89" s="118" t="s">
        <v>79</v>
      </c>
      <c r="G89" s="119">
        <f>G32*'Données Energie'!G$13</f>
        <v>17472.844000000001</v>
      </c>
      <c r="H89" s="119">
        <f>H32*'Données Energie'!H$13</f>
        <v>15051.1975</v>
      </c>
      <c r="I89" s="119">
        <f>I32*'Données Energie'!I$13</f>
        <v>15341.333500000001</v>
      </c>
      <c r="J89" s="119">
        <f>J32*'Données Energie'!J$13</f>
        <v>14977.329</v>
      </c>
      <c r="K89" s="119">
        <f>K32*'Données Energie'!K$13</f>
        <v>14035.5798</v>
      </c>
      <c r="L89" s="119">
        <f>L32*'Données Energie'!L$13</f>
        <v>12244.3104</v>
      </c>
      <c r="M89" s="119">
        <f>M32*'Données Energie'!M$13</f>
        <v>10074.260700000001</v>
      </c>
      <c r="N89" s="119">
        <f>N32*'Données Energie'!N$13</f>
        <v>9112.0751999999993</v>
      </c>
      <c r="O89" s="119">
        <f>O32*'Données Energie'!O$13</f>
        <v>9861.255000000001</v>
      </c>
      <c r="P89" s="119">
        <f>P32*'Données Energie'!P$13</f>
        <v>9625.6895999999997</v>
      </c>
      <c r="Q89" s="119">
        <f>Q32*'Données Energie'!Q$13</f>
        <v>10184.245999999999</v>
      </c>
      <c r="R89" s="119">
        <f>R32*'Données Energie'!R$13</f>
        <v>9166.5568999999996</v>
      </c>
    </row>
    <row r="90" spans="1:18" ht="16.05" hidden="1" customHeight="1" outlineLevel="1">
      <c r="A90" s="46"/>
      <c r="B90" s="652"/>
      <c r="C90" s="637"/>
      <c r="D90" s="118" t="s">
        <v>74</v>
      </c>
      <c r="E90" s="118">
        <v>607</v>
      </c>
      <c r="F90" s="118" t="s">
        <v>80</v>
      </c>
      <c r="G90" s="119">
        <f>G33*'Données Energie'!G$13</f>
        <v>9181.2814999999991</v>
      </c>
      <c r="H90" s="119">
        <f>H33*'Données Energie'!H$13</f>
        <v>10611.708500000001</v>
      </c>
      <c r="I90" s="119">
        <f>I33*'Données Energie'!I$13</f>
        <v>20234.003000000001</v>
      </c>
      <c r="J90" s="119">
        <f>J33*'Données Energie'!J$13</f>
        <v>18130.988000000001</v>
      </c>
      <c r="K90" s="119">
        <f>K33*'Données Energie'!K$13</f>
        <v>18976.6698</v>
      </c>
      <c r="L90" s="119">
        <f>L33*'Données Energie'!L$13</f>
        <v>20374.018</v>
      </c>
      <c r="M90" s="119">
        <f>M33*'Données Energie'!M$13</f>
        <v>14466.734100000001</v>
      </c>
      <c r="N90" s="119">
        <f>N33*'Données Energie'!N$13</f>
        <v>14148.8025</v>
      </c>
      <c r="O90" s="119">
        <f>O33*'Données Energie'!O$13</f>
        <v>14096.754000000001</v>
      </c>
      <c r="P90" s="119">
        <f>P33*'Données Energie'!P$13</f>
        <v>12989.8503</v>
      </c>
      <c r="Q90" s="119">
        <f>Q33*'Données Energie'!Q$13</f>
        <v>14109.108</v>
      </c>
      <c r="R90" s="119">
        <f>R33*'Données Energie'!R$13</f>
        <v>13861.7585</v>
      </c>
    </row>
    <row r="91" spans="1:18" ht="16.05" hidden="1" customHeight="1" outlineLevel="1">
      <c r="A91" s="46"/>
      <c r="B91" s="652"/>
      <c r="C91" s="637"/>
      <c r="D91" s="118" t="s">
        <v>74</v>
      </c>
      <c r="E91" s="118" t="s">
        <v>81</v>
      </c>
      <c r="F91" s="118" t="s">
        <v>82</v>
      </c>
      <c r="G91" s="119">
        <f>G34*'Données Energie'!G$13</f>
        <v>30925.9385</v>
      </c>
      <c r="H91" s="119">
        <f>H34*'Données Energie'!H$13</f>
        <v>29610.357</v>
      </c>
      <c r="I91" s="119">
        <f>I34*'Données Energie'!I$13</f>
        <v>27382.448499999999</v>
      </c>
      <c r="J91" s="119">
        <f>J34*'Données Energie'!J$13</f>
        <v>26674.614000000001</v>
      </c>
      <c r="K91" s="119">
        <f>K34*'Données Energie'!K$13</f>
        <v>26477.335499999997</v>
      </c>
      <c r="L91" s="119">
        <f>L34*'Données Energie'!L$13</f>
        <v>23981.541499999999</v>
      </c>
      <c r="M91" s="119">
        <f>M34*'Données Energie'!M$13</f>
        <v>22370.579700000002</v>
      </c>
      <c r="N91" s="119">
        <f>N34*'Données Energie'!N$13</f>
        <v>17164.272300000001</v>
      </c>
      <c r="O91" s="119">
        <f>O34*'Données Energie'!O$13</f>
        <v>14888.4444</v>
      </c>
      <c r="P91" s="119">
        <f>P34*'Données Energie'!P$13</f>
        <v>17575.151600000001</v>
      </c>
      <c r="Q91" s="119">
        <f>Q34*'Données Energie'!Q$13</f>
        <v>17980.736099999998</v>
      </c>
      <c r="R91" s="119">
        <f>R34*'Données Energie'!R$13</f>
        <v>17965.5674</v>
      </c>
    </row>
    <row r="92" spans="1:18" ht="16.05" hidden="1" customHeight="1" outlineLevel="1">
      <c r="A92" s="46"/>
      <c r="B92" s="652"/>
      <c r="C92" s="637"/>
      <c r="D92" s="118" t="s">
        <v>74</v>
      </c>
      <c r="E92" s="118">
        <v>603</v>
      </c>
      <c r="F92" s="118" t="s">
        <v>83</v>
      </c>
      <c r="G92" s="119">
        <f>G35*'Données Energie'!G$13</f>
        <v>26947.872500000001</v>
      </c>
      <c r="H92" s="119">
        <f>H35*'Données Energie'!H$13</f>
        <v>25895.266</v>
      </c>
      <c r="I92" s="119">
        <f>I35*'Données Energie'!I$13</f>
        <v>20989.408500000001</v>
      </c>
      <c r="J92" s="119">
        <f>J35*'Données Energie'!J$13</f>
        <v>17197.309000000001</v>
      </c>
      <c r="K92" s="119">
        <f>K35*'Données Energie'!K$13</f>
        <v>18177.8982</v>
      </c>
      <c r="L92" s="119">
        <f>L35*'Données Energie'!L$13</f>
        <v>15029.893899999999</v>
      </c>
      <c r="M92" s="119">
        <f>M35*'Données Energie'!M$13</f>
        <v>11989.1394</v>
      </c>
      <c r="N92" s="119">
        <f>N35*'Données Energie'!N$13</f>
        <v>11435.303699999999</v>
      </c>
      <c r="O92" s="119">
        <f>O35*'Données Energie'!O$13</f>
        <v>12331.0746</v>
      </c>
      <c r="P92" s="119">
        <f>P35*'Données Energie'!P$13</f>
        <v>4090.5868999999998</v>
      </c>
      <c r="Q92" s="119">
        <f>Q35*'Données Energie'!Q$13</f>
        <v>4089.3589999999999</v>
      </c>
      <c r="R92" s="119">
        <f>R35*'Données Energie'!R$13</f>
        <v>6684.1212000000005</v>
      </c>
    </row>
    <row r="93" spans="1:18" ht="16.05" hidden="1" customHeight="1" outlineLevel="1">
      <c r="A93" s="46"/>
      <c r="B93" s="652"/>
      <c r="C93" s="637"/>
      <c r="D93" s="118" t="s">
        <v>74</v>
      </c>
      <c r="E93" s="118">
        <v>606</v>
      </c>
      <c r="F93" s="118" t="s">
        <v>84</v>
      </c>
      <c r="G93" s="119">
        <f t="shared" ref="G93:R93" si="7">G36*G$13</f>
        <v>53876.12</v>
      </c>
      <c r="H93" s="119">
        <f t="shared" si="7"/>
        <v>54618.73</v>
      </c>
      <c r="I93" s="119">
        <f t="shared" si="7"/>
        <v>51109.78</v>
      </c>
      <c r="J93" s="119">
        <f t="shared" si="7"/>
        <v>58624.584999999999</v>
      </c>
      <c r="K93" s="119">
        <f t="shared" si="7"/>
        <v>52616.915999999997</v>
      </c>
      <c r="L93" s="119">
        <f t="shared" si="7"/>
        <v>43484.231</v>
      </c>
      <c r="M93" s="119">
        <f t="shared" si="7"/>
        <v>32241.7389</v>
      </c>
      <c r="N93" s="119">
        <f t="shared" si="7"/>
        <v>27368.542799999999</v>
      </c>
      <c r="O93" s="119">
        <f t="shared" si="7"/>
        <v>28823.4342</v>
      </c>
      <c r="P93" s="119">
        <f t="shared" si="7"/>
        <v>31326.544599999997</v>
      </c>
      <c r="Q93" s="119">
        <f t="shared" si="7"/>
        <v>34123.294099999999</v>
      </c>
      <c r="R93" s="119">
        <f t="shared" si="7"/>
        <v>26914.627400000001</v>
      </c>
    </row>
    <row r="94" spans="1:18" ht="16.05" hidden="1" customHeight="1" outlineLevel="1">
      <c r="A94" s="46"/>
      <c r="B94" s="652"/>
      <c r="C94" s="637"/>
      <c r="D94" s="118" t="s">
        <v>74</v>
      </c>
      <c r="E94" s="118">
        <v>707</v>
      </c>
      <c r="F94" s="118" t="s">
        <v>85</v>
      </c>
      <c r="G94" s="119">
        <f>G37*'Données Energie'!G$13</f>
        <v>2194.3890000000001</v>
      </c>
      <c r="H94" s="119">
        <f>H37*'Données Energie'!H$13</f>
        <v>1647.4794999999999</v>
      </c>
      <c r="I94" s="119">
        <f>I37*'Données Energie'!I$13</f>
        <v>12206.121999999999</v>
      </c>
      <c r="J94" s="119">
        <f>J37*'Données Energie'!J$13</f>
        <v>8685.3184999999994</v>
      </c>
      <c r="K94" s="119">
        <f>K37*'Données Energie'!K$13</f>
        <v>9815.7674999999999</v>
      </c>
      <c r="L94" s="119">
        <f>L37*'Données Energie'!L$13</f>
        <v>10088.087799999999</v>
      </c>
      <c r="M94" s="119">
        <f>M37*'Données Energie'!M$13</f>
        <v>7047.2871000000005</v>
      </c>
      <c r="N94" s="119">
        <f>N37*'Données Energie'!N$13</f>
        <v>6511.6292999999996</v>
      </c>
      <c r="O94" s="119">
        <f>O37*'Données Energie'!O$13</f>
        <v>6403.1058000000003</v>
      </c>
      <c r="P94" s="119">
        <f>P37*'Données Energie'!P$13</f>
        <v>6624.2851999999993</v>
      </c>
      <c r="Q94" s="119">
        <f>Q37*'Données Energie'!Q$13</f>
        <v>7458.9980999999998</v>
      </c>
      <c r="R94" s="119">
        <f>R37*'Données Energie'!R$13</f>
        <v>6556.5342000000001</v>
      </c>
    </row>
    <row r="95" spans="1:18" ht="16.05" customHeight="1" collapsed="1">
      <c r="A95" s="46"/>
      <c r="B95" s="652"/>
      <c r="C95" s="637"/>
      <c r="D95" s="133" t="s">
        <v>74</v>
      </c>
      <c r="E95" s="133"/>
      <c r="F95" s="133" t="s">
        <v>36</v>
      </c>
      <c r="G95" s="136">
        <f t="shared" ref="G95:Q95" si="8">SUM(G85:G94)</f>
        <v>184163.826</v>
      </c>
      <c r="H95" s="136">
        <f t="shared" si="8"/>
        <v>181580.86199999999</v>
      </c>
      <c r="I95" s="136">
        <f t="shared" si="8"/>
        <v>207767.36299999998</v>
      </c>
      <c r="J95" s="136">
        <f t="shared" si="8"/>
        <v>205388.02799999999</v>
      </c>
      <c r="K95" s="136">
        <f t="shared" si="8"/>
        <v>198453.83249999999</v>
      </c>
      <c r="L95" s="136">
        <f t="shared" si="8"/>
        <v>177763.3431</v>
      </c>
      <c r="M95" s="136">
        <f t="shared" si="8"/>
        <v>139929.68640000001</v>
      </c>
      <c r="N95" s="136">
        <f t="shared" si="8"/>
        <v>122544.0147</v>
      </c>
      <c r="O95" s="136">
        <f t="shared" si="8"/>
        <v>123514.3602</v>
      </c>
      <c r="P95" s="136">
        <f t="shared" si="8"/>
        <v>117270.26699999998</v>
      </c>
      <c r="Q95" s="136">
        <f t="shared" si="8"/>
        <v>125267.13629999998</v>
      </c>
      <c r="R95" s="136">
        <f>SUM(R85:R94)</f>
        <v>114313.04019999997</v>
      </c>
    </row>
    <row r="96" spans="1:18" ht="16.05" hidden="1" customHeight="1" outlineLevel="1">
      <c r="A96" s="46"/>
      <c r="B96" s="652"/>
      <c r="C96" s="637"/>
      <c r="D96" s="121" t="s">
        <v>90</v>
      </c>
      <c r="E96" s="121">
        <v>114</v>
      </c>
      <c r="F96" s="121" t="s">
        <v>91</v>
      </c>
      <c r="G96" s="122"/>
      <c r="H96" s="122"/>
      <c r="I96" s="122">
        <f>I40*'Données Energie'!I$13</f>
        <v>1643.0050000000001</v>
      </c>
      <c r="J96" s="122">
        <f>J40*'Données Energie'!J$13</f>
        <v>3775.85</v>
      </c>
      <c r="K96" s="122">
        <f>K40*'Données Energie'!K$13</f>
        <v>4069.7579999999998</v>
      </c>
      <c r="L96" s="122">
        <f>L40*'Données Energie'!L$13</f>
        <v>4199.1040000000003</v>
      </c>
      <c r="M96" s="122">
        <f>M40*'Données Energie'!M$13</f>
        <v>2444.2824000000001</v>
      </c>
      <c r="N96" s="122">
        <f>N40*'Données Energie'!N$13</f>
        <v>2586.6365999999998</v>
      </c>
      <c r="O96" s="122">
        <f>O40*'Données Energie'!O$13</f>
        <v>1856.4269399999994</v>
      </c>
      <c r="P96" s="122">
        <f>P40*'Données Energie'!P$13</f>
        <v>551.7401700000006</v>
      </c>
      <c r="Q96" s="122">
        <f>Q40*'Données Energie'!Q$13</f>
        <v>613.83785500000135</v>
      </c>
      <c r="R96" s="119">
        <f>R40*'Données Energie'!R$13</f>
        <v>608.04489999999998</v>
      </c>
    </row>
    <row r="97" spans="1:18" ht="16.05" hidden="1" customHeight="1" outlineLevel="1">
      <c r="A97" s="46"/>
      <c r="B97" s="652"/>
      <c r="C97" s="637"/>
      <c r="D97" s="121" t="s">
        <v>90</v>
      </c>
      <c r="E97" s="121">
        <v>301</v>
      </c>
      <c r="F97" s="121" t="s">
        <v>92</v>
      </c>
      <c r="G97" s="122"/>
      <c r="H97" s="122"/>
      <c r="I97" s="122">
        <f>I41*'Données Energie'!I$13</f>
        <v>1059.5930000000001</v>
      </c>
      <c r="J97" s="122">
        <f>J41*'Données Energie'!J$13</f>
        <v>1278.6079999999999</v>
      </c>
      <c r="K97" s="122">
        <f>K41*'Données Energie'!K$13</f>
        <v>1386.9206999999999</v>
      </c>
      <c r="L97" s="122">
        <f>L41*'Données Energie'!L$13</f>
        <v>1117.9826</v>
      </c>
      <c r="M97" s="122">
        <f>M41*'Données Energie'!M$13</f>
        <v>1056.3714</v>
      </c>
      <c r="N97" s="122">
        <f>N41*'Données Energie'!N$13</f>
        <v>858.52589999999998</v>
      </c>
      <c r="O97" s="122">
        <f>O41*'Données Energie'!O$13</f>
        <v>1182.4075800000003</v>
      </c>
      <c r="P97" s="122">
        <f>P41*'Données Energie'!P$13</f>
        <v>979.83028999999965</v>
      </c>
      <c r="Q97" s="122">
        <f>Q41*'Données Energie'!Q$13</f>
        <v>1113.6446899999999</v>
      </c>
      <c r="R97" s="119">
        <f>R41*'Données Energie'!R$13</f>
        <v>1204.6489000000001</v>
      </c>
    </row>
    <row r="98" spans="1:18" ht="16.05" hidden="1" customHeight="1" outlineLevel="1">
      <c r="A98" s="46"/>
      <c r="B98" s="652"/>
      <c r="C98" s="637"/>
      <c r="D98" s="121" t="s">
        <v>90</v>
      </c>
      <c r="E98" s="121">
        <v>402</v>
      </c>
      <c r="F98" s="121" t="s">
        <v>93</v>
      </c>
      <c r="G98" s="122"/>
      <c r="H98" s="122"/>
      <c r="I98" s="122">
        <f>I42*'Données Energie'!I$13</f>
        <v>0</v>
      </c>
      <c r="J98" s="122">
        <f>J42*'Données Energie'!J$13</f>
        <v>242.95750000000001</v>
      </c>
      <c r="K98" s="122">
        <f>K42*'Données Energie'!K$13</f>
        <v>1116.7166999999999</v>
      </c>
      <c r="L98" s="122">
        <f>L42*'Données Energie'!L$13</f>
        <v>894.47259999999994</v>
      </c>
      <c r="M98" s="122">
        <f>M42*'Données Energie'!M$13</f>
        <v>821.41920000000005</v>
      </c>
      <c r="N98" s="122">
        <f>N42*'Données Energie'!N$13</f>
        <v>807.24239999999998</v>
      </c>
      <c r="O98" s="122">
        <f>O42*'Données Energie'!O$13</f>
        <v>1529.6509800000003</v>
      </c>
      <c r="P98" s="122">
        <f>P42*'Données Energie'!P$13</f>
        <v>1174.7125899999996</v>
      </c>
      <c r="Q98" s="122">
        <f>Q42*'Données Energie'!Q$13</f>
        <v>1055.1298899999997</v>
      </c>
      <c r="R98" s="119">
        <f>R42*'Données Energie'!R$13</f>
        <v>1198.4193</v>
      </c>
    </row>
    <row r="99" spans="1:18" ht="16.05" hidden="1" customHeight="1" outlineLevel="1">
      <c r="A99" s="46"/>
      <c r="B99" s="652"/>
      <c r="C99" s="637"/>
      <c r="D99" s="121" t="s">
        <v>90</v>
      </c>
      <c r="E99" s="121">
        <v>503</v>
      </c>
      <c r="F99" s="121" t="s">
        <v>94</v>
      </c>
      <c r="G99" s="122"/>
      <c r="H99" s="122"/>
      <c r="I99" s="122">
        <f>I43*'Données Energie'!I$13</f>
        <v>526.02850000000001</v>
      </c>
      <c r="J99" s="122">
        <f>J43*'Données Energie'!J$13</f>
        <v>455.77100000000002</v>
      </c>
      <c r="K99" s="122">
        <f>K43*'Données Energie'!K$13</f>
        <v>1475.7237</v>
      </c>
      <c r="L99" s="122">
        <f>L43*'Données Energie'!L$13</f>
        <v>1224.7627</v>
      </c>
      <c r="M99" s="122">
        <f>M43*'Données Energie'!M$13</f>
        <v>634.76070000000004</v>
      </c>
      <c r="N99" s="122">
        <f>N43*'Données Energie'!N$13</f>
        <v>1405.2251999999999</v>
      </c>
      <c r="O99" s="122">
        <f>O43*'Données Energie'!O$13</f>
        <v>767.76336000000072</v>
      </c>
      <c r="P99" s="122">
        <f>P43*'Données Energie'!P$13</f>
        <v>1681.595</v>
      </c>
      <c r="Q99" s="122">
        <f>Q43*'Données Energie'!Q$13</f>
        <v>1783.1232</v>
      </c>
      <c r="R99" s="119">
        <f>R43*'Données Energie'!R$13</f>
        <v>472.91050000000001</v>
      </c>
    </row>
    <row r="100" spans="1:18" ht="16.05" customHeight="1" collapsed="1">
      <c r="A100" s="46"/>
      <c r="B100" s="652"/>
      <c r="C100" s="637"/>
      <c r="D100" s="138" t="s">
        <v>90</v>
      </c>
      <c r="E100" s="138"/>
      <c r="F100" s="138" t="s">
        <v>95</v>
      </c>
      <c r="G100" s="139"/>
      <c r="H100" s="139"/>
      <c r="I100" s="139">
        <f t="shared" ref="I100:Q100" si="9">SUM(I96:I99)</f>
        <v>3228.6264999999999</v>
      </c>
      <c r="J100" s="139">
        <f t="shared" si="9"/>
        <v>5753.1864999999998</v>
      </c>
      <c r="K100" s="139">
        <f t="shared" si="9"/>
        <v>8049.1190999999999</v>
      </c>
      <c r="L100" s="139">
        <f t="shared" si="9"/>
        <v>7436.3219000000008</v>
      </c>
      <c r="M100" s="139">
        <f t="shared" si="9"/>
        <v>4956.8337000000001</v>
      </c>
      <c r="N100" s="139">
        <f t="shared" si="9"/>
        <v>5657.6300999999994</v>
      </c>
      <c r="O100" s="139">
        <f t="shared" si="9"/>
        <v>5336.2488600000006</v>
      </c>
      <c r="P100" s="139">
        <f t="shared" si="9"/>
        <v>4387.8780500000003</v>
      </c>
      <c r="Q100" s="139">
        <f t="shared" si="9"/>
        <v>4565.7356350000009</v>
      </c>
      <c r="R100" s="144">
        <f>SUM(R96:R99)</f>
        <v>3484.0236</v>
      </c>
    </row>
    <row r="101" spans="1:18" ht="16.05" hidden="1" customHeight="1" outlineLevel="1">
      <c r="A101" s="46"/>
      <c r="B101" s="652"/>
      <c r="C101" s="637"/>
      <c r="D101" s="140" t="s">
        <v>96</v>
      </c>
      <c r="E101" s="140">
        <v>106</v>
      </c>
      <c r="F101" s="140" t="s">
        <v>97</v>
      </c>
      <c r="G101" s="141"/>
      <c r="H101" s="141"/>
      <c r="I101" s="141">
        <f>I45*'Données Energie'!I$13</f>
        <v>11251.326499999999</v>
      </c>
      <c r="J101" s="141">
        <f>J45*'Données Energie'!J$13</f>
        <v>10160.647500000001</v>
      </c>
      <c r="K101" s="141">
        <f>K45*'Données Energie'!K$13</f>
        <v>10215.380999999999</v>
      </c>
      <c r="L101" s="141">
        <f>L45*'Données Energie'!L$13</f>
        <v>9477.1844999999994</v>
      </c>
      <c r="M101" s="141">
        <f>M45*'Données Energie'!M$13</f>
        <v>9899.7821999999996</v>
      </c>
      <c r="N101" s="141">
        <f>N45*'Données Energie'!N$13</f>
        <v>10817.552399999999</v>
      </c>
      <c r="O101" s="141">
        <f>O45*'Données Energie'!O$13</f>
        <v>9824.5307880000037</v>
      </c>
      <c r="P101" s="141">
        <f>P45*'Données Energie'!P$13</f>
        <v>11015.3323</v>
      </c>
      <c r="Q101" s="141">
        <f>Q45*'Données Energie'!Q$13</f>
        <v>11903.937699999999</v>
      </c>
      <c r="R101" s="141">
        <f>R45*'Données Energie'!R$13</f>
        <v>8829.7991000000002</v>
      </c>
    </row>
    <row r="102" spans="1:18" ht="16.05" hidden="1" customHeight="1" outlineLevel="1">
      <c r="A102" s="46"/>
      <c r="B102" s="652"/>
      <c r="C102" s="637"/>
      <c r="D102" s="140" t="s">
        <v>96</v>
      </c>
      <c r="E102" s="140">
        <v>113</v>
      </c>
      <c r="F102" s="140" t="s">
        <v>98</v>
      </c>
      <c r="G102" s="141"/>
      <c r="H102" s="141"/>
      <c r="I102" s="141">
        <f>I46*'Données Energie'!I$13</f>
        <v>31846.508000000002</v>
      </c>
      <c r="J102" s="141">
        <f>J46*'Données Energie'!J$13</f>
        <v>34664.658000000003</v>
      </c>
      <c r="K102" s="141">
        <f>K46*'Données Energie'!K$13</f>
        <v>32595.254999999997</v>
      </c>
      <c r="L102" s="141">
        <f>L46*'Données Energie'!L$13</f>
        <v>28913.0373</v>
      </c>
      <c r="M102" s="141">
        <f>M46*'Données Energie'!M$13</f>
        <v>22253.529900000001</v>
      </c>
      <c r="N102" s="141">
        <f>N46*'Données Energie'!N$13</f>
        <v>20478.676199999998</v>
      </c>
      <c r="O102" s="141">
        <f>O46*'Données Energie'!O$13</f>
        <v>6292.3428000000004</v>
      </c>
      <c r="P102" s="141">
        <f>P46*'Données Energie'!P$13</f>
        <v>1624.4949999999999</v>
      </c>
      <c r="Q102" s="141">
        <f>Q46*'Données Energie'!Q$13</f>
        <v>20697.546699999999</v>
      </c>
      <c r="R102" s="141">
        <f>R46*'Données Energie'!R$13</f>
        <v>13223.404200000001</v>
      </c>
    </row>
    <row r="103" spans="1:18" ht="16.05" hidden="1" customHeight="1" outlineLevel="1">
      <c r="A103" s="46"/>
      <c r="B103" s="652"/>
      <c r="C103" s="637"/>
      <c r="D103" s="140" t="s">
        <v>96</v>
      </c>
      <c r="E103" s="140">
        <v>107</v>
      </c>
      <c r="F103" s="140" t="s">
        <v>99</v>
      </c>
      <c r="G103" s="141"/>
      <c r="H103" s="141"/>
      <c r="I103" s="141">
        <f>I47*'Données Energie'!I$13</f>
        <v>42825.910499999998</v>
      </c>
      <c r="J103" s="141">
        <f>J47*'Données Energie'!J$13</f>
        <v>49304.751000000004</v>
      </c>
      <c r="K103" s="141">
        <f>K47*'Données Energie'!K$13</f>
        <v>42670.220999999998</v>
      </c>
      <c r="L103" s="141">
        <f>L47*'Données Energie'!L$13</f>
        <v>40302.530099999996</v>
      </c>
      <c r="M103" s="141">
        <f>M47*'Données Energie'!M$13</f>
        <v>34306.857900000003</v>
      </c>
      <c r="N103" s="141">
        <f>N47*'Données Energie'!N$13</f>
        <v>25124.216399999998</v>
      </c>
      <c r="O103" s="141">
        <f>O47*'Données Energie'!O$13</f>
        <v>19692.712800000001</v>
      </c>
      <c r="P103" s="141">
        <f>P47*'Données Energie'!P$13</f>
        <v>19785.835199999998</v>
      </c>
      <c r="Q103" s="141">
        <f>Q47*'Données Energie'!Q$13</f>
        <v>26627.5118</v>
      </c>
      <c r="R103" s="141">
        <f>R47*'Données Energie'!R$13</f>
        <v>15585.6805</v>
      </c>
    </row>
    <row r="104" spans="1:18" ht="16.05" hidden="1" customHeight="1" outlineLevel="1">
      <c r="A104" s="46"/>
      <c r="B104" s="652"/>
      <c r="C104" s="637"/>
      <c r="D104" s="140" t="s">
        <v>96</v>
      </c>
      <c r="E104" s="140">
        <v>307</v>
      </c>
      <c r="F104" s="140" t="s">
        <v>100</v>
      </c>
      <c r="G104" s="141"/>
      <c r="H104" s="141"/>
      <c r="I104" s="141"/>
      <c r="J104" s="141"/>
      <c r="K104" s="141">
        <f>K48*'Données Energie'!K$13</f>
        <v>12144</v>
      </c>
      <c r="L104" s="141">
        <f>L48*'Données Energie'!L$13</f>
        <v>12097.4427</v>
      </c>
      <c r="M104" s="141">
        <f>M48*'Données Energie'!M$13</f>
        <v>9569.8869000000013</v>
      </c>
      <c r="N104" s="141">
        <f>N48*'Données Energie'!N$13</f>
        <v>8789.4188999999988</v>
      </c>
      <c r="O104" s="141">
        <f>O48*'Données Energie'!O$13</f>
        <v>7940.7864</v>
      </c>
      <c r="P104" s="141">
        <f>P48*'Données Energie'!P$13</f>
        <v>8804.2489999999998</v>
      </c>
      <c r="Q104" s="141">
        <f>Q48*'Données Energie'!Q$13</f>
        <v>10675.794599999999</v>
      </c>
      <c r="R104" s="141">
        <f>R48*'Données Energie'!R$13</f>
        <v>10535.092200000001</v>
      </c>
    </row>
    <row r="105" spans="1:18" ht="16.05" hidden="1" customHeight="1" outlineLevel="1">
      <c r="A105" s="46"/>
      <c r="B105" s="652"/>
      <c r="C105" s="637"/>
      <c r="D105" s="140" t="s">
        <v>96</v>
      </c>
      <c r="E105" s="140">
        <v>304</v>
      </c>
      <c r="F105" s="140" t="s">
        <v>101</v>
      </c>
      <c r="G105" s="141"/>
      <c r="H105" s="141">
        <f>H49*'Données Energie'!H$13</f>
        <v>23215.6685</v>
      </c>
      <c r="I105" s="141">
        <f>I49*'Données Energie'!I$13</f>
        <v>26403.396499999999</v>
      </c>
      <c r="J105" s="141">
        <f>J49*'Données Energie'!J$13</f>
        <v>22961.878000000001</v>
      </c>
      <c r="K105" s="141">
        <f>K49*'Données Energie'!K$13</f>
        <v>22749.886499999997</v>
      </c>
      <c r="L105" s="141">
        <f>L49*'Données Energie'!L$13</f>
        <v>19494.686399999999</v>
      </c>
      <c r="M105" s="141">
        <f>M49*'Données Energie'!M$13</f>
        <v>14940.475200000001</v>
      </c>
      <c r="N105" s="141">
        <f>N49*'Données Energie'!N$13</f>
        <v>13527.498599999999</v>
      </c>
      <c r="O105" s="141">
        <f>O49*'Données Energie'!O$13</f>
        <v>12307.192200000001</v>
      </c>
      <c r="P105" s="141">
        <f>P49*'Données Energie'!P$13</f>
        <v>9408.3099000000002</v>
      </c>
      <c r="Q105" s="141">
        <f>Q49*'Données Energie'!Q$13</f>
        <v>7527.8925999999992</v>
      </c>
      <c r="R105" s="141">
        <f>R49*'Données Energie'!R$13</f>
        <v>8451.4706999999999</v>
      </c>
    </row>
    <row r="106" spans="1:18" ht="16.05" hidden="1" customHeight="1" outlineLevel="1">
      <c r="A106" s="46"/>
      <c r="B106" s="652"/>
      <c r="C106" s="637"/>
      <c r="D106" s="140" t="s">
        <v>96</v>
      </c>
      <c r="E106" s="140">
        <v>306</v>
      </c>
      <c r="F106" s="140" t="s">
        <v>102</v>
      </c>
      <c r="G106" s="141"/>
      <c r="H106" s="141">
        <f>H50*'Données Energie'!H$13</f>
        <v>9752.7615000000005</v>
      </c>
      <c r="I106" s="141">
        <f>I50*'Données Energie'!I$13</f>
        <v>9683.1319999999996</v>
      </c>
      <c r="J106" s="141">
        <f>J50*'Données Energie'!J$13</f>
        <v>8103.4764999999998</v>
      </c>
      <c r="K106" s="141">
        <f>K50*'Données Energie'!K$13</f>
        <v>8305.5092999999997</v>
      </c>
      <c r="L106" s="141">
        <f>L50*'Données Energie'!L$13</f>
        <v>8600.0159000000003</v>
      </c>
      <c r="M106" s="141">
        <f>M50*'Données Energie'!M$13</f>
        <v>8910.1571999999996</v>
      </c>
      <c r="N106" s="141">
        <f>N50*'Données Energie'!N$13</f>
        <v>9883.7343000000001</v>
      </c>
      <c r="O106" s="141">
        <f>O50*'Données Energie'!O$13</f>
        <v>9112.1400000000012</v>
      </c>
      <c r="P106" s="141">
        <f>P50*'Données Energie'!P$13</f>
        <v>11054.3316</v>
      </c>
      <c r="Q106" s="141">
        <f>Q50*'Données Energie'!Q$13</f>
        <v>11382.8282</v>
      </c>
      <c r="R106" s="141">
        <f>R50*'Données Energie'!R$13</f>
        <v>9590.6489000000001</v>
      </c>
    </row>
    <row r="107" spans="1:18" ht="16.05" hidden="1" customHeight="1" outlineLevel="1">
      <c r="A107" s="46"/>
      <c r="B107" s="652"/>
      <c r="C107" s="637"/>
      <c r="D107" s="140" t="s">
        <v>96</v>
      </c>
      <c r="E107" s="140">
        <v>303</v>
      </c>
      <c r="F107" s="140" t="s">
        <v>103</v>
      </c>
      <c r="G107" s="141"/>
      <c r="H107" s="141"/>
      <c r="I107" s="141">
        <f>I51*'Données Energie'!I$13</f>
        <v>29152.702000000001</v>
      </c>
      <c r="J107" s="141">
        <f>J51*'Données Energie'!J$13</f>
        <v>26984.375</v>
      </c>
      <c r="K107" s="141">
        <f>K51*'Données Energie'!K$13</f>
        <v>29019.6819</v>
      </c>
      <c r="L107" s="141">
        <f>L51*'Données Energie'!L$13</f>
        <v>32397.630299999997</v>
      </c>
      <c r="M107" s="141">
        <f>M51*'Données Energie'!M$13</f>
        <v>27328.631400000002</v>
      </c>
      <c r="N107" s="141">
        <f>N51*'Données Energie'!N$13</f>
        <v>23579.9241</v>
      </c>
      <c r="O107" s="141">
        <f>O51*'Données Energie'!O$13</f>
        <v>20381.061600000001</v>
      </c>
      <c r="P107" s="141">
        <f>P51*'Données Energie'!P$13</f>
        <v>19086.645700000001</v>
      </c>
      <c r="Q107" s="141">
        <f>Q51*'Données Energie'!Q$13</f>
        <v>18210</v>
      </c>
      <c r="R107" s="141">
        <f>R51*'Données Energie'!R$13</f>
        <v>14164.253500000001</v>
      </c>
    </row>
    <row r="108" spans="1:18" ht="16.05" hidden="1" customHeight="1" outlineLevel="1">
      <c r="A108" s="46"/>
      <c r="B108" s="652"/>
      <c r="C108" s="637"/>
      <c r="D108" s="140" t="s">
        <v>96</v>
      </c>
      <c r="E108" s="140">
        <v>302</v>
      </c>
      <c r="F108" s="140" t="s">
        <v>104</v>
      </c>
      <c r="G108" s="141"/>
      <c r="H108" s="141">
        <f>H52*'Données Energie'!H$13</f>
        <v>21784.378000000001</v>
      </c>
      <c r="I108" s="141">
        <f>I52*'Données Energie'!I$13</f>
        <v>22240.777000000002</v>
      </c>
      <c r="J108" s="141">
        <f>J52*'Données Energie'!J$13</f>
        <v>40918.988499999999</v>
      </c>
      <c r="K108" s="141">
        <f>K52*'Données Energie'!K$13</f>
        <v>43254.726899999994</v>
      </c>
      <c r="L108" s="141">
        <f>L52*'Données Energie'!L$13</f>
        <v>39677.062599999997</v>
      </c>
      <c r="M108" s="141">
        <f>M52*'Données Energie'!M$13</f>
        <v>48745.943400000004</v>
      </c>
      <c r="N108" s="141">
        <f>N52*'Données Energie'!N$13</f>
        <v>49164.545999999995</v>
      </c>
      <c r="O108" s="141">
        <f>O52*'Données Energie'!O$13</f>
        <v>66514.99500000001</v>
      </c>
      <c r="P108" s="141">
        <f>P52*'Données Energie'!P$13</f>
        <v>63751.636099999996</v>
      </c>
      <c r="Q108" s="141">
        <f>Q52*'Données Energie'!Q$13</f>
        <v>67063.90939999999</v>
      </c>
      <c r="R108" s="141">
        <f>R52*'Données Energie'!R$13</f>
        <v>54637.485500000003</v>
      </c>
    </row>
    <row r="109" spans="1:18" ht="16.05" hidden="1" customHeight="1" outlineLevel="1">
      <c r="A109" s="46"/>
      <c r="B109" s="652"/>
      <c r="C109" s="637"/>
      <c r="D109" s="140" t="s">
        <v>96</v>
      </c>
      <c r="E109" s="140">
        <v>401</v>
      </c>
      <c r="F109" s="140" t="s">
        <v>105</v>
      </c>
      <c r="G109" s="141"/>
      <c r="H109" s="141">
        <f>H53*'Données Energie'!H$13</f>
        <v>39115.529499999997</v>
      </c>
      <c r="I109" s="141">
        <f>I53*'Données Energie'!I$13</f>
        <v>30623.321</v>
      </c>
      <c r="J109" s="141">
        <f>J53*'Données Energie'!J$13</f>
        <v>28837.053500000002</v>
      </c>
      <c r="K109" s="141">
        <f>K53*'Données Energie'!K$13</f>
        <v>29231.594699999998</v>
      </c>
      <c r="L109" s="141">
        <f>L53*'Données Energie'!L$13</f>
        <v>25793.126099999998</v>
      </c>
      <c r="M109" s="141">
        <f>M53*'Données Energie'!M$13</f>
        <v>21789.837299999999</v>
      </c>
      <c r="N109" s="141">
        <f>N53*'Données Energie'!N$13</f>
        <v>21217.8462</v>
      </c>
      <c r="O109" s="141">
        <f>O53*'Données Energie'!O$13</f>
        <v>21967.902000000002</v>
      </c>
      <c r="P109" s="141">
        <f>P53*'Données Energie'!P$13</f>
        <v>22794.491299999998</v>
      </c>
      <c r="Q109" s="141">
        <f>Q53*'Données Energie'!Q$13</f>
        <v>24174.988999999998</v>
      </c>
      <c r="R109" s="141">
        <f>R53*'Données Energie'!R$13</f>
        <v>33835.653100000003</v>
      </c>
    </row>
    <row r="110" spans="1:18" ht="16.05" hidden="1" customHeight="1" outlineLevel="1">
      <c r="A110" s="46"/>
      <c r="B110" s="652"/>
      <c r="C110" s="637"/>
      <c r="D110" s="140" t="s">
        <v>96</v>
      </c>
      <c r="E110" s="140">
        <v>403</v>
      </c>
      <c r="F110" s="140" t="s">
        <v>106</v>
      </c>
      <c r="G110" s="141"/>
      <c r="H110" s="141">
        <f>H54*'Données Energie'!H$13</f>
        <v>45397.334999999999</v>
      </c>
      <c r="I110" s="141">
        <f>I54*'Données Energie'!I$13</f>
        <v>45976.586499999998</v>
      </c>
      <c r="J110" s="141">
        <f>J54*'Données Energie'!J$13</f>
        <v>45229.659</v>
      </c>
      <c r="K110" s="141">
        <f>K54*'Données Energie'!K$13</f>
        <v>45100.538999999997</v>
      </c>
      <c r="L110" s="141">
        <f>L54*'Données Energie'!L$13</f>
        <v>44965.741799999996</v>
      </c>
      <c r="M110" s="141">
        <f>M54*'Données Energie'!M$13</f>
        <v>37945.937400000003</v>
      </c>
      <c r="N110" s="141">
        <f>N54*'Données Energie'!N$13</f>
        <v>33442.342799999999</v>
      </c>
      <c r="O110" s="141">
        <f>O54*'Données Energie'!O$13</f>
        <v>34696.049400000004</v>
      </c>
      <c r="P110" s="141">
        <f>P54*'Données Energie'!P$13</f>
        <v>22818.4162</v>
      </c>
      <c r="Q110" s="141">
        <f>Q54*'Données Energie'!Q$13</f>
        <v>21007.723699999999</v>
      </c>
      <c r="R110" s="141">
        <f>R54*'Données Energie'!R$13</f>
        <v>29114.2752</v>
      </c>
    </row>
    <row r="111" spans="1:18" ht="16.05" hidden="1" customHeight="1" outlineLevel="1">
      <c r="A111" s="46"/>
      <c r="B111" s="652"/>
      <c r="C111" s="637"/>
      <c r="D111" s="140" t="s">
        <v>96</v>
      </c>
      <c r="E111" s="140">
        <v>404</v>
      </c>
      <c r="F111" s="140" t="s">
        <v>107</v>
      </c>
      <c r="G111" s="141">
        <f>G55*'Données Energie'!G$13</f>
        <v>17028.690999999999</v>
      </c>
      <c r="H111" s="141">
        <f>H55*'Données Energie'!H$13</f>
        <v>19740.944500000001</v>
      </c>
      <c r="I111" s="141">
        <f>I55*'Données Energie'!I$13</f>
        <v>2899.3975</v>
      </c>
      <c r="J111" s="141">
        <f>J55*'Données Energie'!J$13</f>
        <v>24967.788499999999</v>
      </c>
      <c r="K111" s="141">
        <f>K55*'Données Energie'!K$13</f>
        <v>24963.054599999999</v>
      </c>
      <c r="L111" s="141">
        <f>L55*'Données Energie'!L$13</f>
        <v>20962.137699999999</v>
      </c>
      <c r="M111" s="141">
        <f>M55*'Données Energie'!M$13</f>
        <v>18095.0952</v>
      </c>
      <c r="N111" s="141">
        <f>N55*'Données Energie'!N$13</f>
        <v>15904.9329</v>
      </c>
      <c r="O111" s="141">
        <f>O55*'Données Energie'!O$13</f>
        <v>30051.648000000001</v>
      </c>
      <c r="P111" s="141">
        <f>P55*'Données Energie'!P$13</f>
        <v>31164.666099999999</v>
      </c>
      <c r="Q111" s="141">
        <f>Q55*'Données Energie'!Q$13</f>
        <v>36500.852399999996</v>
      </c>
      <c r="R111" s="141">
        <f>R55*'Données Energie'!R$13</f>
        <v>29366.3943</v>
      </c>
    </row>
    <row r="112" spans="1:18" ht="16.05" hidden="1" customHeight="1" outlineLevel="1">
      <c r="A112" s="46"/>
      <c r="B112" s="652"/>
      <c r="C112" s="637"/>
      <c r="D112" s="140" t="s">
        <v>96</v>
      </c>
      <c r="E112" s="140">
        <v>407</v>
      </c>
      <c r="F112" s="140" t="s">
        <v>108</v>
      </c>
      <c r="G112" s="141">
        <f>G56*'Données Energie'!G$13</f>
        <v>3729.2995000000001</v>
      </c>
      <c r="H112" s="141">
        <f>H56*'Données Energie'!H$13</f>
        <v>4049.03</v>
      </c>
      <c r="I112" s="141">
        <f>I56*'Données Energie'!I$13</f>
        <v>3520.7249999999999</v>
      </c>
      <c r="J112" s="141">
        <f>J56*'Données Energie'!J$13</f>
        <v>3637.69</v>
      </c>
      <c r="K112" s="141">
        <f>K56*'Données Energie'!K$13</f>
        <v>3858.7559999999999</v>
      </c>
      <c r="L112" s="141">
        <f>L56*'Données Energie'!L$13</f>
        <v>3429.076</v>
      </c>
      <c r="M112" s="141">
        <f>M56*'Données Energie'!M$13</f>
        <v>2939.0949000000001</v>
      </c>
      <c r="N112" s="141">
        <f>N56*'Données Energie'!N$13</f>
        <v>2957.1956999999998</v>
      </c>
      <c r="O112" s="141">
        <f>O56*'Données Energie'!O$13</f>
        <v>3075.2719200000015</v>
      </c>
      <c r="P112" s="141">
        <f>P56*'Données Energie'!P$13</f>
        <v>1980.9931399999946</v>
      </c>
      <c r="Q112" s="141">
        <f>Q56*'Données Energie'!Q$13</f>
        <v>2792.0907399999969</v>
      </c>
      <c r="R112" s="141">
        <f>R56*'Données Energie'!R$13</f>
        <v>2051.8744999999999</v>
      </c>
    </row>
    <row r="113" spans="1:18" ht="16.05" hidden="1" customHeight="1" outlineLevel="1">
      <c r="A113" s="46"/>
      <c r="B113" s="652"/>
      <c r="C113" s="637"/>
      <c r="D113" s="140" t="s">
        <v>96</v>
      </c>
      <c r="E113" s="140">
        <v>601</v>
      </c>
      <c r="F113" s="140" t="s">
        <v>109</v>
      </c>
      <c r="G113" s="141">
        <f>G57*'Données Energie'!G$13</f>
        <v>13685.69</v>
      </c>
      <c r="H113" s="141">
        <f>H57*'Données Energie'!H$13</f>
        <v>11906.88</v>
      </c>
      <c r="I113" s="141">
        <f>I57*'Données Energie'!I$13</f>
        <v>10617.91</v>
      </c>
      <c r="J113" s="141">
        <f>J57*'Données Energie'!J$13</f>
        <v>9489.8649999999998</v>
      </c>
      <c r="K113" s="141">
        <f>K57*'Données Energie'!K$13</f>
        <v>9980.8499999999985</v>
      </c>
      <c r="L113" s="141">
        <f>L57*'Données Energie'!L$13</f>
        <v>8101.8769999999995</v>
      </c>
      <c r="M113" s="141">
        <f>M57*'Données Energie'!M$13</f>
        <v>6621.2916000000005</v>
      </c>
      <c r="N113" s="141">
        <f>N57*'Données Energie'!N$13</f>
        <v>6289.5344999999998</v>
      </c>
      <c r="O113" s="141">
        <f>O57*'Données Energie'!O$13</f>
        <v>6239.3506560000042</v>
      </c>
      <c r="P113" s="141">
        <f>P57*'Données Energie'!P$13</f>
        <v>5152.6594619999978</v>
      </c>
      <c r="Q113" s="141">
        <f>Q57*'Données Energie'!Q$13</f>
        <v>6388.7818320000006</v>
      </c>
      <c r="R113" s="141">
        <f>R57*'Données Energie'!R$13</f>
        <v>4246.5506000000005</v>
      </c>
    </row>
    <row r="114" spans="1:18" ht="16.05" hidden="1" customHeight="1" outlineLevel="1">
      <c r="A114" s="46"/>
      <c r="B114" s="652"/>
      <c r="C114" s="637"/>
      <c r="D114" s="140" t="s">
        <v>96</v>
      </c>
      <c r="E114" s="140">
        <v>405</v>
      </c>
      <c r="F114" s="140" t="s">
        <v>110</v>
      </c>
      <c r="G114" s="141"/>
      <c r="H114" s="141">
        <f>H58*'Données Energie'!H$13</f>
        <v>5222.2124999999996</v>
      </c>
      <c r="I114" s="141">
        <f>I58*'Données Energie'!I$13</f>
        <v>4202.8900000000003</v>
      </c>
      <c r="J114" s="141">
        <f>J58*'Données Energie'!J$13</f>
        <v>25927.529500000001</v>
      </c>
      <c r="K114" s="141">
        <f>K58*'Données Energie'!K$13</f>
        <v>25119.332699999999</v>
      </c>
      <c r="L114" s="141">
        <f>L58*'Données Energie'!L$13</f>
        <v>26025.143899999999</v>
      </c>
      <c r="M114" s="141">
        <f>M58*'Données Energie'!M$13</f>
        <v>21944.9496</v>
      </c>
      <c r="N114" s="141">
        <f>N58*'Données Energie'!N$13</f>
        <v>18347.5746</v>
      </c>
      <c r="O114" s="141">
        <f>O58*'Données Energie'!O$13</f>
        <v>18919.101600000002</v>
      </c>
      <c r="P114" s="141">
        <f>P58*'Données Energie'!P$13</f>
        <v>19550.640299999999</v>
      </c>
      <c r="Q114" s="141">
        <f>Q58*'Données Energie'!Q$13</f>
        <v>21003.596099999999</v>
      </c>
      <c r="R114" s="141">
        <f>R58*'Données Energie'!R$13</f>
        <v>18384.567900000002</v>
      </c>
    </row>
    <row r="115" spans="1:18" ht="16.05" hidden="1" customHeight="1" outlineLevel="1">
      <c r="A115" s="46"/>
      <c r="B115" s="652"/>
      <c r="C115" s="637"/>
      <c r="D115" s="140" t="s">
        <v>96</v>
      </c>
      <c r="E115" s="140">
        <v>501</v>
      </c>
      <c r="F115" s="140" t="s">
        <v>111</v>
      </c>
      <c r="G115" s="141"/>
      <c r="H115" s="141">
        <f>H59*'Données Energie'!H$13</f>
        <v>41961.9395</v>
      </c>
      <c r="I115" s="141">
        <f>I59*'Données Energie'!I$13</f>
        <v>37490.736499999999</v>
      </c>
      <c r="J115" s="141">
        <f>J59*'Données Energie'!J$13</f>
        <v>37701.9015</v>
      </c>
      <c r="K115" s="141">
        <f>K59*'Données Energie'!K$13</f>
        <v>41876.6106</v>
      </c>
      <c r="L115" s="141">
        <f>L59*'Données Energie'!L$13</f>
        <v>35706.876100000001</v>
      </c>
      <c r="M115" s="141">
        <f>M59*'Données Energie'!M$13</f>
        <v>30607.7919</v>
      </c>
      <c r="N115" s="141">
        <f>N59*'Données Energie'!N$13</f>
        <v>28267.694399999997</v>
      </c>
      <c r="O115" s="141">
        <f>O59*'Données Energie'!O$13</f>
        <v>26120.928600000003</v>
      </c>
      <c r="P115" s="141">
        <f>P59*'Données Energie'!P$13</f>
        <v>22689.28455</v>
      </c>
      <c r="Q115" s="141">
        <f>Q59*'Données Energie'!Q$13</f>
        <v>32918.763299999999</v>
      </c>
      <c r="R115" s="141">
        <f>R59*'Données Energie'!R$13</f>
        <v>23363.0965</v>
      </c>
    </row>
    <row r="116" spans="1:18" ht="16.05" hidden="1" customHeight="1" outlineLevel="1">
      <c r="A116" s="46"/>
      <c r="B116" s="652"/>
      <c r="C116" s="637"/>
      <c r="D116" s="140" t="s">
        <v>96</v>
      </c>
      <c r="E116" s="140">
        <v>502</v>
      </c>
      <c r="F116" s="140" t="s">
        <v>112</v>
      </c>
      <c r="G116" s="141"/>
      <c r="H116" s="141">
        <f>H60*'Données Energie'!H$13</f>
        <v>79873.75</v>
      </c>
      <c r="I116" s="141">
        <f>I60*'Données Energie'!I$13</f>
        <v>64285.455500000004</v>
      </c>
      <c r="J116" s="141">
        <f>J60*'Données Energie'!J$13</f>
        <v>83221.618000000002</v>
      </c>
      <c r="K116" s="141">
        <f>K60*'Données Energie'!K$13</f>
        <v>74732.5821</v>
      </c>
      <c r="L116" s="141">
        <f>L60*'Données Energie'!L$13</f>
        <v>68498.604999999996</v>
      </c>
      <c r="M116" s="141">
        <f>M60*'Données Energie'!M$13</f>
        <v>53043.534599999999</v>
      </c>
      <c r="N116" s="141">
        <f>N60*'Données Energie'!N$13</f>
        <v>50851.973699999995</v>
      </c>
      <c r="O116" s="141">
        <f>O60*'Données Energie'!O$13</f>
        <v>64308.328200000004</v>
      </c>
      <c r="P116" s="141">
        <f>P60*'Données Energie'!P$13</f>
        <v>64011.612399999998</v>
      </c>
      <c r="Q116" s="141">
        <f>Q60*'Données Energie'!Q$13</f>
        <v>58680.802359999994</v>
      </c>
      <c r="R116" s="141">
        <f>R60*'Données Energie'!R$13</f>
        <v>51127.704900000004</v>
      </c>
    </row>
    <row r="117" spans="1:18" ht="16.05" hidden="1" customHeight="1" outlineLevel="1">
      <c r="A117" s="46"/>
      <c r="B117" s="652"/>
      <c r="C117" s="637"/>
      <c r="D117" s="140" t="s">
        <v>96</v>
      </c>
      <c r="E117" s="140">
        <v>504</v>
      </c>
      <c r="F117" s="140" t="s">
        <v>113</v>
      </c>
      <c r="G117" s="141"/>
      <c r="H117" s="141">
        <f>H61*'Données Energie'!H$13</f>
        <v>17590.358499999998</v>
      </c>
      <c r="I117" s="141">
        <f>I61*'Données Energie'!I$13</f>
        <v>17963.626</v>
      </c>
      <c r="J117" s="141">
        <f>J61*'Données Energie'!J$13</f>
        <v>15845.460499999999</v>
      </c>
      <c r="K117" s="141">
        <f>K61*'Données Energie'!K$13</f>
        <v>14409.463199999998</v>
      </c>
      <c r="L117" s="141">
        <f>L61*'Données Energie'!L$13</f>
        <v>13025.153399999999</v>
      </c>
      <c r="M117" s="141">
        <f>M61*'Données Energie'!M$13</f>
        <v>10460.0013</v>
      </c>
      <c r="N117" s="141">
        <f>N61*'Données Energie'!N$13</f>
        <v>10061.7654</v>
      </c>
      <c r="O117" s="141">
        <f>O61*'Données Energie'!O$13</f>
        <v>9282.3634800000054</v>
      </c>
      <c r="P117" s="141">
        <f>P61*'Données Energie'!P$13</f>
        <v>11713.950799999999</v>
      </c>
      <c r="Q117" s="141">
        <f>Q61*'Données Energie'!Q$13</f>
        <v>12341.511860000002</v>
      </c>
      <c r="R117" s="141">
        <f>R61*'Données Energie'!R$13</f>
        <v>10815.963299999999</v>
      </c>
    </row>
    <row r="118" spans="1:18" ht="16.05" hidden="1" customHeight="1" outlineLevel="1">
      <c r="A118" s="46"/>
      <c r="B118" s="652"/>
      <c r="C118" s="637"/>
      <c r="D118" s="140" t="s">
        <v>96</v>
      </c>
      <c r="E118" s="140">
        <v>406</v>
      </c>
      <c r="F118" s="140" t="s">
        <v>114</v>
      </c>
      <c r="G118" s="141"/>
      <c r="H118" s="141">
        <f>H62*'Données Energie'!H$13</f>
        <v>32023.682499999999</v>
      </c>
      <c r="I118" s="141">
        <f>I62*'Données Energie'!I$13</f>
        <v>70475.494500000001</v>
      </c>
      <c r="J118" s="141">
        <f>J62*'Données Energie'!J$13</f>
        <v>64836.054499999998</v>
      </c>
      <c r="K118" s="141">
        <f>K62*'Données Energie'!K$13</f>
        <v>63405.949199999995</v>
      </c>
      <c r="L118" s="141">
        <f>L62*'Données Energie'!L$13</f>
        <v>59343.419099999999</v>
      </c>
      <c r="M118" s="141">
        <f>M62*'Données Energie'!M$13</f>
        <v>55428.013200000001</v>
      </c>
      <c r="N118" s="141">
        <f>N62*'Données Energie'!N$13</f>
        <v>50349.796499999997</v>
      </c>
      <c r="O118" s="141">
        <f>O62*'Données Energie'!O$13</f>
        <v>53833.831200000001</v>
      </c>
      <c r="P118" s="141">
        <f>P62*'Données Energie'!P$13</f>
        <v>47879.948799999998</v>
      </c>
      <c r="Q118" s="141">
        <f>Q62*'Données Energie'!Q$13</f>
        <v>58850.2889</v>
      </c>
      <c r="R118" s="141">
        <f>R62*'Données Energie'!R$13</f>
        <v>55322.322200000002</v>
      </c>
    </row>
    <row r="119" spans="1:18" ht="16.05" hidden="1" customHeight="1" outlineLevel="1">
      <c r="A119" s="46"/>
      <c r="B119" s="652"/>
      <c r="C119" s="637"/>
      <c r="D119" s="143" t="s">
        <v>96</v>
      </c>
      <c r="E119" s="143">
        <v>409</v>
      </c>
      <c r="F119" s="143" t="s">
        <v>115</v>
      </c>
      <c r="G119" s="141">
        <f>G63*'Données Energie'!G$13</f>
        <v>6786.3249999999998</v>
      </c>
      <c r="H119" s="141">
        <f>H63*'Données Energie'!H$13</f>
        <v>6673.2849999999999</v>
      </c>
      <c r="I119" s="141">
        <f>I63*'Données Energie'!I$13</f>
        <v>3251.47</v>
      </c>
      <c r="J119" s="141">
        <f>J63*'Données Energie'!J$13</f>
        <v>3061.5</v>
      </c>
      <c r="K119" s="141">
        <f>K63*'Données Energie'!K$13</f>
        <v>3091.4069999999997</v>
      </c>
      <c r="L119" s="141">
        <f>L63*'Données Energie'!L$13</f>
        <v>3063.529</v>
      </c>
      <c r="M119" s="141">
        <f>M63*'Données Energie'!M$13</f>
        <v>3027.0345000000002</v>
      </c>
      <c r="N119" s="141">
        <f>N63*'Données Energie'!N$13</f>
        <v>1163.1899999999998</v>
      </c>
      <c r="O119" s="141">
        <f>O63*'Données Energie'!O$13</f>
        <v>1233.9054000000001</v>
      </c>
      <c r="P119" s="141">
        <f>P63*'Données Energie'!P$13</f>
        <v>1634.8158249999999</v>
      </c>
      <c r="Q119" s="141">
        <f>Q63*'Données Energie'!Q$13</f>
        <v>1846.0387499999999</v>
      </c>
      <c r="R119" s="141">
        <f>R63*'Données Energie'!R$13</f>
        <v>780.67669999999998</v>
      </c>
    </row>
    <row r="120" spans="1:18" ht="16.05" hidden="1" customHeight="1" outlineLevel="1">
      <c r="A120" s="46"/>
      <c r="B120" s="652"/>
      <c r="C120" s="637"/>
      <c r="D120" s="143" t="s">
        <v>96</v>
      </c>
      <c r="E120" s="140">
        <v>705</v>
      </c>
      <c r="F120" s="140" t="s">
        <v>116</v>
      </c>
      <c r="G120" s="141"/>
      <c r="H120" s="141">
        <f>H64*'Données Energie'!H$13</f>
        <v>2745.6945000000001</v>
      </c>
      <c r="I120" s="141">
        <f>I64*'Données Energie'!I$13</f>
        <v>3449.9180000000001</v>
      </c>
      <c r="J120" s="141">
        <f>J64*'Données Energie'!J$13</f>
        <v>3171.4785000000002</v>
      </c>
      <c r="K120" s="141">
        <f>K64*'Données Energie'!K$13</f>
        <v>2414.3789999999999</v>
      </c>
      <c r="L120" s="141">
        <f>L64*'Données Energie'!L$13</f>
        <v>1131.97</v>
      </c>
      <c r="M120" s="141">
        <f>M64*'Données Energie'!M$13</f>
        <v>1641.2550000000001</v>
      </c>
      <c r="N120" s="141">
        <f>N64*'Données Energie'!N$13</f>
        <v>1752.8069999999998</v>
      </c>
      <c r="O120" s="141">
        <f>O64*'Données Energie'!O$13</f>
        <v>2274.4079999999999</v>
      </c>
      <c r="P120" s="141">
        <f>P64*'Données Energie'!P$13</f>
        <v>2057.884</v>
      </c>
      <c r="Q120" s="141">
        <f>Q64*'Données Energie'!Q$13</f>
        <v>2453.4939999999997</v>
      </c>
      <c r="R120" s="141">
        <f>R64*'Données Energie'!R$13</f>
        <v>2098.8960000000002</v>
      </c>
    </row>
    <row r="121" spans="1:18" ht="16.05" hidden="1" customHeight="1" outlineLevel="1">
      <c r="A121" s="46"/>
      <c r="B121" s="652"/>
      <c r="C121" s="637"/>
      <c r="D121" s="143" t="s">
        <v>96</v>
      </c>
      <c r="E121" s="140">
        <v>324</v>
      </c>
      <c r="F121" s="140" t="s">
        <v>88</v>
      </c>
      <c r="G121" s="141"/>
      <c r="H121" s="141">
        <f>H65*'Données Energie'!H$13</f>
        <v>0</v>
      </c>
      <c r="I121" s="141">
        <f>I65*'Données Energie'!I$13</f>
        <v>0</v>
      </c>
      <c r="J121" s="141">
        <f>J65*'Données Energie'!J$13</f>
        <v>0</v>
      </c>
      <c r="K121" s="141">
        <f>K65*'Données Energie'!K$13</f>
        <v>0</v>
      </c>
      <c r="L121" s="141">
        <f>L65*'Données Energie'!L$13</f>
        <v>0</v>
      </c>
      <c r="M121" s="141">
        <f>M65*'Données Energie'!M$13</f>
        <v>0</v>
      </c>
      <c r="N121" s="141">
        <f>N65*'Données Energie'!N$13</f>
        <v>1676.4260999999999</v>
      </c>
      <c r="O121" s="141">
        <f>O65*'Données Energie'!O$13</f>
        <v>0</v>
      </c>
      <c r="P121" s="141">
        <f>P65*'Données Energie'!P$13</f>
        <v>25603.011899999998</v>
      </c>
      <c r="Q121" s="141">
        <f>Q65*'Données Energie'!Q$13</f>
        <v>25212.412699999997</v>
      </c>
      <c r="R121" s="141">
        <f>R65*'Données Energie'!R$13</f>
        <v>20771.702700000002</v>
      </c>
    </row>
    <row r="122" spans="1:18" ht="16.05" hidden="1" customHeight="1" outlineLevel="1">
      <c r="A122" s="46"/>
      <c r="B122" s="652"/>
      <c r="C122" s="637"/>
      <c r="D122" s="143" t="s">
        <v>96</v>
      </c>
      <c r="E122" s="140">
        <v>308</v>
      </c>
      <c r="F122" s="140" t="s">
        <v>86</v>
      </c>
      <c r="G122" s="141"/>
      <c r="H122" s="141">
        <f>H66*'Données Energie'!H$13</f>
        <v>0</v>
      </c>
      <c r="I122" s="141">
        <f>I66*'Données Energie'!I$13</f>
        <v>0</v>
      </c>
      <c r="J122" s="141">
        <f>J66*'Données Energie'!J$13</f>
        <v>0</v>
      </c>
      <c r="K122" s="141">
        <f>K66*'Données Energie'!K$13</f>
        <v>0</v>
      </c>
      <c r="L122" s="141">
        <f>L66*'Données Energie'!L$13</f>
        <v>0</v>
      </c>
      <c r="M122" s="141">
        <f>M66*'Données Energie'!M$13</f>
        <v>0</v>
      </c>
      <c r="N122" s="141">
        <f>N66*'Données Energie'!N$13</f>
        <v>0</v>
      </c>
      <c r="O122" s="141">
        <f>O66*'Données Energie'!O$13</f>
        <v>20381.061600000001</v>
      </c>
      <c r="P122" s="141">
        <f>P66*'Données Energie'!P$13</f>
        <v>1186.9947999999999</v>
      </c>
      <c r="Q122" s="141">
        <f>Q66*'Données Energie'!Q$13</f>
        <v>1235.0021999999999</v>
      </c>
      <c r="R122" s="141">
        <f>R66*'Données Energie'!R$13</f>
        <v>788.46370000000002</v>
      </c>
    </row>
    <row r="123" spans="1:18" ht="16.05" hidden="1" customHeight="1" outlineLevel="1">
      <c r="A123" s="46"/>
      <c r="B123" s="652"/>
      <c r="C123" s="637"/>
      <c r="D123" s="143" t="s">
        <v>96</v>
      </c>
      <c r="E123" s="140">
        <v>321</v>
      </c>
      <c r="F123" s="140" t="s">
        <v>87</v>
      </c>
      <c r="G123" s="141"/>
      <c r="H123" s="141">
        <f>H67*'Données Energie'!H$13</f>
        <v>0</v>
      </c>
      <c r="I123" s="141">
        <f>I67*'Données Energie'!I$13</f>
        <v>0</v>
      </c>
      <c r="J123" s="141">
        <f>J67*'Données Energie'!J$13</f>
        <v>0</v>
      </c>
      <c r="K123" s="141">
        <f>K67*'Données Energie'!K$13</f>
        <v>0</v>
      </c>
      <c r="L123" s="141">
        <f>L67*'Données Energie'!L$13</f>
        <v>0</v>
      </c>
      <c r="M123" s="141">
        <f>M67*'Données Energie'!M$13</f>
        <v>0</v>
      </c>
      <c r="N123" s="141">
        <f>N67*'Données Energie'!N$13</f>
        <v>0</v>
      </c>
      <c r="O123" s="141">
        <f>O67*'Données Energie'!O$13</f>
        <v>15959.2464</v>
      </c>
      <c r="P123" s="141">
        <f>P67*'Données Energie'!P$13</f>
        <v>14676.013299999999</v>
      </c>
      <c r="Q123" s="141">
        <f>Q67*'Données Energie'!Q$13</f>
        <v>13911.590199999999</v>
      </c>
      <c r="R123" s="141">
        <f>R67*'Données Energie'!R$13</f>
        <v>11581.9046</v>
      </c>
    </row>
    <row r="124" spans="1:18" ht="16.05" customHeight="1" collapsed="1">
      <c r="A124" s="46"/>
      <c r="B124" s="652"/>
      <c r="C124" s="637"/>
      <c r="D124" s="140" t="s">
        <v>96</v>
      </c>
      <c r="E124" s="140"/>
      <c r="F124" s="140" t="s">
        <v>95</v>
      </c>
      <c r="G124" s="140"/>
      <c r="H124" s="141">
        <f t="shared" ref="H124:Q124" si="10">SUM(H101:H123)</f>
        <v>361053.44949999993</v>
      </c>
      <c r="I124" s="141">
        <f t="shared" si="10"/>
        <v>468161.283</v>
      </c>
      <c r="J124" s="141">
        <f t="shared" si="10"/>
        <v>539026.37300000002</v>
      </c>
      <c r="K124" s="141">
        <f t="shared" si="10"/>
        <v>539139.17969999998</v>
      </c>
      <c r="L124" s="141">
        <f t="shared" si="10"/>
        <v>501006.24489999993</v>
      </c>
      <c r="M124" s="141">
        <f t="shared" si="10"/>
        <v>439499.10060000006</v>
      </c>
      <c r="N124" s="141">
        <f t="shared" si="10"/>
        <v>403648.64669999992</v>
      </c>
      <c r="O124" s="141">
        <f t="shared" si="10"/>
        <v>460409.15804399998</v>
      </c>
      <c r="P124" s="141">
        <f t="shared" si="10"/>
        <v>439446.21767699998</v>
      </c>
      <c r="Q124" s="141">
        <f t="shared" si="10"/>
        <v>493407.35904199991</v>
      </c>
      <c r="R124" s="141">
        <f>SUM(R101:R123)</f>
        <v>428667.8808000001</v>
      </c>
    </row>
    <row r="125" spans="1:18" ht="16.05" hidden="1" customHeight="1" outlineLevel="1">
      <c r="A125" s="46"/>
      <c r="B125" s="652"/>
      <c r="C125" s="637"/>
      <c r="D125" s="143" t="s">
        <v>117</v>
      </c>
      <c r="E125" s="143">
        <v>300</v>
      </c>
      <c r="F125" s="143" t="s">
        <v>118</v>
      </c>
      <c r="G125" s="144"/>
      <c r="H125" s="144"/>
      <c r="I125" s="144">
        <f>I69*'Données Energie'!I$13</f>
        <v>25359.268</v>
      </c>
      <c r="J125" s="144">
        <f>J69*'Données Energie'!J$13</f>
        <v>28005.503000000001</v>
      </c>
      <c r="K125" s="144">
        <f>K69*'Données Energie'!K$13</f>
        <v>27972.337799999998</v>
      </c>
      <c r="L125" s="144">
        <f>L69*'Données Energie'!L$13</f>
        <v>23979.811099999999</v>
      </c>
      <c r="M125" s="144">
        <f>M69*'Données Energie'!M$13</f>
        <v>20430.7929</v>
      </c>
      <c r="N125" s="144">
        <f>N69*'Données Energie'!N$13</f>
        <v>17506.410599999999</v>
      </c>
      <c r="O125" s="144">
        <f>O69*'Données Energie'!O$13</f>
        <v>15946.948080000006</v>
      </c>
      <c r="P125" s="144">
        <f>P69*'Données Energie'!P$13</f>
        <v>17086.626839999994</v>
      </c>
      <c r="Q125" s="144">
        <f>Q69*'Données Energie'!Q$13</f>
        <v>18272.423879999995</v>
      </c>
      <c r="R125" s="144">
        <f>R69*'Données Energie'!R$13</f>
        <v>14316.878700000001</v>
      </c>
    </row>
    <row r="126" spans="1:18" ht="16.05" hidden="1" customHeight="1" outlineLevel="1">
      <c r="A126" s="46"/>
      <c r="B126" s="652"/>
      <c r="C126" s="637"/>
      <c r="D126" s="143" t="s">
        <v>117</v>
      </c>
      <c r="E126" s="143">
        <v>209</v>
      </c>
      <c r="F126" s="143" t="s">
        <v>119</v>
      </c>
      <c r="G126" s="144"/>
      <c r="H126" s="144"/>
      <c r="I126" s="144">
        <f>I70*'Données Energie'!I$13</f>
        <v>10516.017</v>
      </c>
      <c r="J126" s="144">
        <f>J70*'Données Energie'!J$13</f>
        <v>12426.079</v>
      </c>
      <c r="K126" s="144">
        <f>K70*'Données Energie'!K$13</f>
        <v>12846.3786</v>
      </c>
      <c r="L126" s="144">
        <f>L70*'Données Energie'!L$13</f>
        <v>12109.483399999999</v>
      </c>
      <c r="M126" s="144">
        <f>M70*'Données Energie'!M$13</f>
        <v>10485.8838</v>
      </c>
      <c r="N126" s="144">
        <f>N70*'Données Energie'!N$13</f>
        <v>9478.4513999999999</v>
      </c>
      <c r="O126" s="144">
        <f>O70*'Données Energie'!O$13</f>
        <v>633.44159999999999</v>
      </c>
      <c r="P126" s="144">
        <f>P70*'Données Energie'!P$13</f>
        <v>7944.9510999999993</v>
      </c>
      <c r="Q126" s="144">
        <f>Q70*'Données Energie'!Q$13</f>
        <v>9742.5321000000004</v>
      </c>
      <c r="R126" s="144">
        <f>R70*'Données Energie'!R$13</f>
        <v>8909.4061999999994</v>
      </c>
    </row>
    <row r="127" spans="1:18" ht="16.05" hidden="1" customHeight="1" outlineLevel="1">
      <c r="A127" s="46"/>
      <c r="B127" s="652"/>
      <c r="C127" s="637"/>
      <c r="D127" s="143" t="s">
        <v>117</v>
      </c>
      <c r="E127" s="143">
        <v>210</v>
      </c>
      <c r="F127" s="143" t="s">
        <v>120</v>
      </c>
      <c r="G127" s="144"/>
      <c r="H127" s="144"/>
      <c r="I127" s="144">
        <f>I71*'Données Energie'!I$13</f>
        <v>627.60749999999996</v>
      </c>
      <c r="J127" s="144">
        <f>J71*'Données Energie'!J$13</f>
        <v>1643.9470000000001</v>
      </c>
      <c r="K127" s="144">
        <f>K71*'Données Energie'!K$13</f>
        <v>1700.6153999999999</v>
      </c>
      <c r="L127" s="144">
        <f>L71*'Données Energie'!L$13</f>
        <v>1692.6196</v>
      </c>
      <c r="M127" s="144">
        <f>M71*'Données Energie'!M$13</f>
        <v>1326.2193</v>
      </c>
      <c r="N127" s="144">
        <f>N71*'Données Energie'!N$13</f>
        <v>1127.6067</v>
      </c>
      <c r="O127" s="144">
        <f>O71*'Données Energie'!O$13</f>
        <v>1001.4984000000001</v>
      </c>
      <c r="P127" s="144">
        <f>P71*'Données Energie'!P$13</f>
        <v>1000.5632999999999</v>
      </c>
      <c r="Q127" s="144">
        <f>Q71*'Données Energie'!Q$13</f>
        <v>1055.4515999999999</v>
      </c>
      <c r="R127" s="144">
        <f>R71*'Données Energie'!R$13</f>
        <v>797.80810000000008</v>
      </c>
    </row>
    <row r="128" spans="1:18" ht="16.05" hidden="1" customHeight="1" outlineLevel="1">
      <c r="A128" s="46"/>
      <c r="B128" s="652"/>
      <c r="C128" s="637"/>
      <c r="D128" s="143" t="s">
        <v>117</v>
      </c>
      <c r="E128" s="143">
        <v>201</v>
      </c>
      <c r="F128" s="143" t="s">
        <v>121</v>
      </c>
      <c r="G128" s="144"/>
      <c r="H128" s="144"/>
      <c r="I128" s="144">
        <f>I72*'Données Energie'!I$13</f>
        <v>842.93299999999999</v>
      </c>
      <c r="J128" s="144">
        <f>J72*'Données Energie'!J$13</f>
        <v>2375.8025000000002</v>
      </c>
      <c r="K128" s="144">
        <f>K72*'Données Energie'!K$13</f>
        <v>2247.6266999999998</v>
      </c>
      <c r="L128" s="144">
        <f>L72*'Données Energie'!L$13</f>
        <v>2444.3341999999998</v>
      </c>
      <c r="M128" s="144">
        <f>M72*'Données Energie'!M$13</f>
        <v>1655.2620000000002</v>
      </c>
      <c r="N128" s="144">
        <f>N72*'Données Energie'!N$13</f>
        <v>1745.9883</v>
      </c>
      <c r="O128" s="144">
        <f>O72*'Données Energie'!O$13</f>
        <v>1756.3608000000002</v>
      </c>
      <c r="P128" s="144">
        <f>P72*'Données Energie'!P$13</f>
        <v>1941.1715999999999</v>
      </c>
      <c r="Q128" s="144">
        <f>Q72*'Données Energie'!Q$13</f>
        <v>2174.3346999999999</v>
      </c>
      <c r="R128" s="144">
        <f>R72*'Données Energie'!R$13</f>
        <v>2992.1248000000001</v>
      </c>
    </row>
    <row r="129" spans="1:18" ht="16.05" hidden="1" customHeight="1" outlineLevel="1">
      <c r="A129" s="46"/>
      <c r="B129" s="652"/>
      <c r="C129" s="637"/>
      <c r="D129" s="143" t="s">
        <v>117</v>
      </c>
      <c r="E129" s="143">
        <v>206</v>
      </c>
      <c r="F129" s="143" t="s">
        <v>122</v>
      </c>
      <c r="G129" s="144"/>
      <c r="H129" s="144"/>
      <c r="I129" s="144">
        <f>I73*'Données Energie'!I$13</f>
        <v>88.391000000000005</v>
      </c>
      <c r="J129" s="144">
        <f>J73*'Données Energie'!J$13</f>
        <v>345.4</v>
      </c>
      <c r="K129" s="144">
        <f>K73*'Données Energie'!K$13</f>
        <v>791.78879999999992</v>
      </c>
      <c r="L129" s="144">
        <f>L73*'Données Energie'!L$13</f>
        <v>827.56380000000001</v>
      </c>
      <c r="M129" s="144">
        <f>M73*'Données Energie'!M$13</f>
        <v>741.45749999999998</v>
      </c>
      <c r="N129" s="144">
        <f>N73*'Données Energie'!N$13</f>
        <v>755.0421</v>
      </c>
      <c r="O129" s="144">
        <f>O73*'Données Energie'!O$13</f>
        <v>778.80060000000003</v>
      </c>
      <c r="P129" s="144">
        <f>P73*'Données Energie'!P$13</f>
        <v>705.18499999999995</v>
      </c>
      <c r="Q129" s="144">
        <f>Q73*'Données Energie'!Q$13</f>
        <v>742.42169999999999</v>
      </c>
      <c r="R129" s="144">
        <f>R73*'Données Energie'!R$13</f>
        <v>603.55240000000003</v>
      </c>
    </row>
    <row r="130" spans="1:18" ht="16.05" hidden="1" customHeight="1" outlineLevel="1">
      <c r="A130" s="46"/>
      <c r="B130" s="652"/>
      <c r="C130" s="637"/>
      <c r="D130" s="140" t="s">
        <v>117</v>
      </c>
      <c r="E130" s="140">
        <v>103</v>
      </c>
      <c r="F130" s="140" t="s">
        <v>123</v>
      </c>
      <c r="G130" s="144"/>
      <c r="H130" s="144"/>
      <c r="I130" s="144"/>
      <c r="J130" s="144">
        <f>J74*'Données Energie'!J$13</f>
        <v>2652.4364999999998</v>
      </c>
      <c r="K130" s="144">
        <f>K74*'Données Energie'!K$13</f>
        <v>2286.8669999999997</v>
      </c>
      <c r="L130" s="144">
        <f>L74*'Données Energie'!L$13</f>
        <v>2384.3469999999998</v>
      </c>
      <c r="M130" s="144">
        <f>M74*'Données Energie'!M$13</f>
        <v>2307.9273000000003</v>
      </c>
      <c r="N130" s="144">
        <f>N74*'Données Energie'!N$13</f>
        <v>2082.7977000000001</v>
      </c>
      <c r="O130" s="144">
        <f>O74*'Données Energie'!O$13</f>
        <v>2087.3574719999997</v>
      </c>
      <c r="P130" s="144">
        <f>P74*'Données Energie'!P$13</f>
        <v>1920.6818360000002</v>
      </c>
      <c r="Q130" s="144">
        <f>Q74*'Données Energie'!Q$13</f>
        <v>2041.7658999999999</v>
      </c>
      <c r="R130" s="144">
        <f>R74*'Données Energie'!R$13</f>
        <v>1442.6915000000001</v>
      </c>
    </row>
    <row r="131" spans="1:18" ht="16.05" hidden="1" customHeight="1" outlineLevel="1">
      <c r="A131" s="46"/>
      <c r="B131" s="652"/>
      <c r="C131" s="637"/>
      <c r="D131" s="140" t="s">
        <v>117</v>
      </c>
      <c r="E131" s="140"/>
      <c r="F131" s="140" t="s">
        <v>124</v>
      </c>
      <c r="G131" s="144"/>
      <c r="H131" s="144"/>
      <c r="I131" s="144"/>
      <c r="J131" s="144"/>
      <c r="K131" s="144"/>
      <c r="L131" s="144">
        <f>L75*'Données Energie'!L$13</f>
        <v>28611.010399999999</v>
      </c>
      <c r="M131" s="144">
        <f>M75*'Données Energie'!M$13</f>
        <v>28047.251400000001</v>
      </c>
      <c r="N131" s="144">
        <f>N75*'Données Energie'!N$13</f>
        <v>24370.778699999999</v>
      </c>
      <c r="O131" s="144">
        <f>O75*'Données Energie'!O$13</f>
        <v>22685.936400000002</v>
      </c>
      <c r="P131" s="144">
        <f>P75*'Données Energie'!P$13</f>
        <v>23733.2153</v>
      </c>
      <c r="Q131" s="144">
        <f>Q75*'Données Energie'!Q$13</f>
        <v>24554.7889</v>
      </c>
      <c r="R131" s="144">
        <f>R75*'Données Energie'!R$13</f>
        <v>18391.456399999999</v>
      </c>
    </row>
    <row r="132" spans="1:18" ht="16.05" hidden="1" customHeight="1" outlineLevel="1">
      <c r="A132" s="46"/>
      <c r="B132" s="652"/>
      <c r="C132" s="637"/>
      <c r="D132" s="140" t="s">
        <v>117</v>
      </c>
      <c r="E132" s="140"/>
      <c r="F132" s="140" t="s">
        <v>125</v>
      </c>
      <c r="G132" s="144"/>
      <c r="H132" s="144"/>
      <c r="I132" s="144"/>
      <c r="J132" s="144"/>
      <c r="K132" s="144"/>
      <c r="L132" s="144">
        <f>L76*'Données Energie'!L$13</f>
        <v>3548.9061999999999</v>
      </c>
      <c r="M132" s="144">
        <f>M76*'Données Energie'!M$13</f>
        <v>2730.3297000000002</v>
      </c>
      <c r="N132" s="144">
        <f>N76*'Données Energie'!N$13</f>
        <v>2149.4948999999997</v>
      </c>
      <c r="O132" s="144">
        <f>O76*'Données Energie'!O$13</f>
        <v>2588.1156000000001</v>
      </c>
      <c r="P132" s="144">
        <f>P76*'Données Energie'!P$13</f>
        <v>2609.8696999999997</v>
      </c>
      <c r="Q132" s="144">
        <f>Q76*'Données Energie'!Q$13</f>
        <v>2862.9155000000001</v>
      </c>
      <c r="R132" s="144">
        <f>R76*'Données Energie'!R$13</f>
        <v>1784.6007</v>
      </c>
    </row>
    <row r="133" spans="1:18" ht="16.05" hidden="1" customHeight="1" outlineLevel="1">
      <c r="A133" s="46"/>
      <c r="B133" s="652"/>
      <c r="C133" s="637"/>
      <c r="D133" s="140" t="s">
        <v>117</v>
      </c>
      <c r="E133" s="140">
        <v>602</v>
      </c>
      <c r="F133" s="140" t="s">
        <v>126</v>
      </c>
      <c r="G133" s="144">
        <f>G77*'Données Energie'!G$13</f>
        <v>3047.37</v>
      </c>
      <c r="H133" s="144">
        <f>H77*'Données Energie'!H$13</f>
        <v>2778.9</v>
      </c>
      <c r="I133" s="144">
        <f>I77*'Données Energie'!I$13</f>
        <v>4328.49</v>
      </c>
      <c r="J133" s="144">
        <f>J77*'Données Energie'!J$13</f>
        <v>4894.4750000000004</v>
      </c>
      <c r="K133" s="144">
        <f>K77*'Données Energie'!K$13</f>
        <v>6497.04</v>
      </c>
      <c r="L133" s="144">
        <f>L77*'Données Energie'!L$13</f>
        <v>4794.6499999999996</v>
      </c>
      <c r="M133" s="144">
        <f>M77*'Données Energie'!M$13</f>
        <v>3287.4429</v>
      </c>
      <c r="N133" s="144">
        <f>N77*'Données Energie'!N$13</f>
        <v>3348.2109</v>
      </c>
      <c r="O133" s="144">
        <f>O77*'Données Energie'!O$13</f>
        <v>3659.7797100000039</v>
      </c>
      <c r="P133" s="144">
        <f>P77*'Données Energie'!P$13</f>
        <v>3688.7984674999957</v>
      </c>
      <c r="Q133" s="144">
        <f>Q77*'Données Energie'!Q$13</f>
        <v>4637.1340099999952</v>
      </c>
      <c r="R133" s="144">
        <f>R77*'Données Energie'!R$13</f>
        <v>2767.3200999999999</v>
      </c>
    </row>
    <row r="134" spans="1:18" ht="16.05" hidden="1" customHeight="1" outlineLevel="1">
      <c r="A134" s="46"/>
      <c r="B134" s="652"/>
      <c r="C134" s="637"/>
      <c r="D134" s="140" t="s">
        <v>117</v>
      </c>
      <c r="E134" s="140">
        <v>408</v>
      </c>
      <c r="F134" s="140" t="s">
        <v>127</v>
      </c>
      <c r="G134" s="144"/>
      <c r="H134" s="144">
        <f>H78*'Données Energie'!H$13</f>
        <v>364.31850000000003</v>
      </c>
      <c r="I134" s="144">
        <f>I78*'Données Energie'!I$13</f>
        <v>494.86399999999998</v>
      </c>
      <c r="J134" s="144">
        <f>J78*'Données Energie'!J$13</f>
        <v>425.31299999999999</v>
      </c>
      <c r="K134" s="144">
        <f>K78*'Données Energie'!K$13</f>
        <v>502.60979999999995</v>
      </c>
      <c r="L134" s="144">
        <f>L78*'Données Energie'!L$13</f>
        <v>338.94209999999998</v>
      </c>
      <c r="M134" s="144">
        <f>M78*'Données Energie'!M$13</f>
        <v>267.2901</v>
      </c>
      <c r="N134" s="144">
        <f>N78*'Données Energie'!N$13</f>
        <v>959.37389999999994</v>
      </c>
      <c r="O134" s="144">
        <f>O78*'Données Energie'!O$13</f>
        <v>0</v>
      </c>
      <c r="P134" s="144">
        <f>P78*'Données Energie'!P$13</f>
        <v>0</v>
      </c>
      <c r="Q134" s="144">
        <v>1E-3</v>
      </c>
      <c r="R134" s="144"/>
    </row>
    <row r="135" spans="1:18" ht="16.05" customHeight="1" collapsed="1">
      <c r="A135" s="46"/>
      <c r="B135" s="652"/>
      <c r="C135" s="637"/>
      <c r="D135" s="140" t="s">
        <v>117</v>
      </c>
      <c r="E135" s="140"/>
      <c r="F135" s="140" t="s">
        <v>95</v>
      </c>
      <c r="G135" s="141"/>
      <c r="H135" s="141"/>
      <c r="I135" s="141">
        <f t="shared" ref="I135:N135" si="11">SUM(I125:I134)</f>
        <v>42257.570500000002</v>
      </c>
      <c r="J135" s="141">
        <f t="shared" si="11"/>
        <v>52768.956000000006</v>
      </c>
      <c r="K135" s="141">
        <f t="shared" si="11"/>
        <v>54845.2641</v>
      </c>
      <c r="L135" s="141">
        <f t="shared" si="11"/>
        <v>80731.667799999981</v>
      </c>
      <c r="M135" s="141">
        <f t="shared" si="11"/>
        <v>71279.856899999999</v>
      </c>
      <c r="N135" s="141">
        <f t="shared" si="11"/>
        <v>63524.155199999994</v>
      </c>
      <c r="O135" s="141">
        <f>SUM(O125:O134)</f>
        <v>51138.238662000003</v>
      </c>
      <c r="P135" s="141">
        <f>SUM(P125:P134)</f>
        <v>60631.063143499996</v>
      </c>
      <c r="Q135" s="141">
        <f>SUM(Q125:Q134)</f>
        <v>66083.769289999997</v>
      </c>
      <c r="R135" s="141">
        <f>SUM(R125:R134)</f>
        <v>52005.838899999995</v>
      </c>
    </row>
    <row r="136" spans="1:18" ht="16.05" customHeight="1">
      <c r="A136" s="46"/>
      <c r="B136" s="652"/>
      <c r="C136" s="637"/>
      <c r="D136" s="134" t="s">
        <v>128</v>
      </c>
      <c r="E136" s="134"/>
      <c r="F136" s="134" t="s">
        <v>36</v>
      </c>
      <c r="G136" s="135"/>
      <c r="H136" s="135">
        <f t="shared" ref="H136:Q136" si="12">H100+H124+H135</f>
        <v>361053.44949999993</v>
      </c>
      <c r="I136" s="135">
        <f t="shared" si="12"/>
        <v>513647.48</v>
      </c>
      <c r="J136" s="135">
        <f t="shared" si="12"/>
        <v>597548.51549999998</v>
      </c>
      <c r="K136" s="135">
        <f t="shared" si="12"/>
        <v>602033.56290000002</v>
      </c>
      <c r="L136" s="135">
        <f t="shared" si="12"/>
        <v>589174.23459999985</v>
      </c>
      <c r="M136" s="135">
        <f t="shared" si="12"/>
        <v>515735.79120000009</v>
      </c>
      <c r="N136" s="135">
        <f t="shared" si="12"/>
        <v>472830.43199999991</v>
      </c>
      <c r="O136" s="135">
        <f t="shared" si="12"/>
        <v>516883.64556599996</v>
      </c>
      <c r="P136" s="135">
        <f t="shared" si="12"/>
        <v>504465.15887049999</v>
      </c>
      <c r="Q136" s="135">
        <f t="shared" si="12"/>
        <v>564056.86396699992</v>
      </c>
      <c r="R136" s="135">
        <f>R100+R124+R135</f>
        <v>484157.74330000009</v>
      </c>
    </row>
    <row r="137" spans="1:18" ht="16.05" hidden="1" customHeight="1" outlineLevel="1">
      <c r="A137" s="46"/>
      <c r="B137" s="652"/>
      <c r="C137" s="637"/>
      <c r="D137" s="123" t="s">
        <v>129</v>
      </c>
      <c r="E137" s="123">
        <v>704</v>
      </c>
      <c r="F137" s="123" t="s">
        <v>130</v>
      </c>
      <c r="G137" s="124">
        <f>G81*'Données Energie'!G$13</f>
        <v>18828.224999999999</v>
      </c>
      <c r="H137" s="124">
        <f>H81*'Données Energie'!H$13</f>
        <v>43094.93</v>
      </c>
      <c r="I137" s="124">
        <f>I81*'Données Energie'!I$13</f>
        <v>75795.203999999998</v>
      </c>
      <c r="J137" s="124">
        <f>J81*'Données Energie'!J$13</f>
        <v>74191.606</v>
      </c>
      <c r="K137" s="124">
        <f>K81*'Données Energie'!K$13</f>
        <v>70803.694499999998</v>
      </c>
      <c r="L137" s="124">
        <f>L81*'Données Energie'!L$13</f>
        <v>74162.132100000003</v>
      </c>
      <c r="M137" s="124">
        <f>M81*'Données Energie'!M$13</f>
        <v>62329.505700000002</v>
      </c>
      <c r="N137" s="124">
        <f>N81*'Données Energie'!N$13</f>
        <v>53003.359499999999</v>
      </c>
      <c r="O137" s="124">
        <f>O81*'Données Energie'!O$13</f>
        <v>56964.322800000002</v>
      </c>
      <c r="P137" s="124">
        <f>P81*'Données Energie'!P$13</f>
        <v>57373.965799999998</v>
      </c>
      <c r="Q137" s="124">
        <f>Q81*'Données Energie'!Q$13</f>
        <v>64260.2978</v>
      </c>
      <c r="R137" s="124">
        <f>R81*'Données Energie'!R$13</f>
        <v>42911.102100000004</v>
      </c>
    </row>
    <row r="138" spans="1:18" ht="16.05" hidden="1" customHeight="1" outlineLevel="1">
      <c r="A138" s="46"/>
      <c r="B138" s="652"/>
      <c r="C138" s="637"/>
      <c r="D138" s="123" t="s">
        <v>129</v>
      </c>
      <c r="E138" s="123">
        <v>608</v>
      </c>
      <c r="F138" s="123" t="s">
        <v>131</v>
      </c>
      <c r="G138" s="124">
        <f>G82*'Données Energie'!G$13</f>
        <v>12278.4205</v>
      </c>
      <c r="H138" s="124">
        <f>H82*'Données Energie'!H$13</f>
        <v>11846.592000000001</v>
      </c>
      <c r="I138" s="124">
        <f>I82*'Données Energie'!I$13</f>
        <v>22559.879499999999</v>
      </c>
      <c r="J138" s="124">
        <f>J82*'Données Energie'!J$13</f>
        <v>20761.523000000001</v>
      </c>
      <c r="K138" s="124">
        <f>K82*'Données Energie'!K$13</f>
        <v>21136.859699999997</v>
      </c>
      <c r="L138" s="124">
        <f>L82*'Données Energie'!L$13</f>
        <v>19318.185600000001</v>
      </c>
      <c r="M138" s="124">
        <f>M82*'Données Energie'!M$13</f>
        <v>15508.367700000001</v>
      </c>
      <c r="N138" s="124">
        <f>N82*'Données Energie'!N$13</f>
        <v>15666.3357</v>
      </c>
      <c r="O138" s="124">
        <f>O82*'Données Energie'!O$13</f>
        <v>17177.304599999999</v>
      </c>
      <c r="P138" s="124">
        <f>P82*'Données Energie'!P$13</f>
        <v>17623.058499999999</v>
      </c>
      <c r="Q138" s="124">
        <f>Q82*'Données Energie'!Q$13</f>
        <v>18591.196</v>
      </c>
      <c r="R138" s="124">
        <f>R82*'Données Energie'!R$13</f>
        <v>12058.1695</v>
      </c>
    </row>
    <row r="139" spans="1:18" ht="16.05" customHeight="1" collapsed="1">
      <c r="A139" s="46"/>
      <c r="B139" s="652"/>
      <c r="C139" s="637"/>
      <c r="D139" s="134" t="s">
        <v>129</v>
      </c>
      <c r="E139" s="134"/>
      <c r="F139" s="134" t="s">
        <v>36</v>
      </c>
      <c r="G139" s="135">
        <v>95000</v>
      </c>
      <c r="H139" s="135">
        <v>95000</v>
      </c>
      <c r="I139" s="135">
        <f t="shared" ref="I139:N139" si="13">SUM(I137:I138)</f>
        <v>98355.083499999993</v>
      </c>
      <c r="J139" s="135">
        <f t="shared" si="13"/>
        <v>94953.129000000001</v>
      </c>
      <c r="K139" s="135">
        <f t="shared" si="13"/>
        <v>91940.554199999999</v>
      </c>
      <c r="L139" s="135">
        <f t="shared" si="13"/>
        <v>93480.3177</v>
      </c>
      <c r="M139" s="135">
        <f t="shared" si="13"/>
        <v>77837.873399999997</v>
      </c>
      <c r="N139" s="135">
        <f t="shared" si="13"/>
        <v>68669.695200000002</v>
      </c>
      <c r="O139" s="135">
        <f>SUM(O137:O138)</f>
        <v>74141.627399999998</v>
      </c>
      <c r="P139" s="135">
        <f>SUM(P137:P138)</f>
        <v>74997.02429999999</v>
      </c>
      <c r="Q139" s="135">
        <f>SUM(Q137:Q138)</f>
        <v>82851.493799999997</v>
      </c>
      <c r="R139" s="135">
        <f>SUM(R137:R138)</f>
        <v>54969.271600000007</v>
      </c>
    </row>
    <row r="140" spans="1:18" ht="15.75" customHeight="1">
      <c r="A140" s="46"/>
      <c r="B140" s="652"/>
      <c r="C140" s="637"/>
      <c r="D140" s="130" t="s">
        <v>132</v>
      </c>
      <c r="E140" s="130"/>
      <c r="F140" s="130" t="s">
        <v>36</v>
      </c>
      <c r="G140" s="131">
        <f>G84*'Données Energie'!G$13</f>
        <v>1049399.6965000001</v>
      </c>
      <c r="H140" s="131">
        <f>H84*'Données Energie'!H$13</f>
        <v>1078938.7755</v>
      </c>
      <c r="I140" s="131">
        <f>I84*'Données Energie'!I$13</f>
        <v>1046031.811</v>
      </c>
      <c r="J140" s="131">
        <f t="shared" ref="J140:Q140" si="14">J95+J136+J139</f>
        <v>897889.67249999987</v>
      </c>
      <c r="K140" s="131">
        <f t="shared" si="14"/>
        <v>892427.94960000005</v>
      </c>
      <c r="L140" s="131">
        <f t="shared" si="14"/>
        <v>860417.8953999998</v>
      </c>
      <c r="M140" s="131">
        <f t="shared" si="14"/>
        <v>733503.35100000014</v>
      </c>
      <c r="N140" s="131">
        <f t="shared" si="14"/>
        <v>664044.14189999993</v>
      </c>
      <c r="O140" s="131">
        <f t="shared" si="14"/>
        <v>714539.6331659999</v>
      </c>
      <c r="P140" s="131">
        <f t="shared" si="14"/>
        <v>696732.45017049997</v>
      </c>
      <c r="Q140" s="131">
        <f t="shared" si="14"/>
        <v>772175.49406699999</v>
      </c>
      <c r="R140" s="131">
        <f>R95+R136+R139</f>
        <v>653440.0551</v>
      </c>
    </row>
    <row r="141" spans="1:18" ht="36" customHeight="1" thickBot="1">
      <c r="A141" s="46"/>
      <c r="B141" s="653"/>
      <c r="C141" s="424" t="s">
        <v>959</v>
      </c>
      <c r="D141" s="412" t="s">
        <v>132</v>
      </c>
      <c r="E141" s="412"/>
      <c r="F141" s="412" t="s">
        <v>36</v>
      </c>
      <c r="G141" s="413">
        <f>G140*G14/1000</f>
        <v>104.93996965000001</v>
      </c>
      <c r="H141" s="413">
        <f t="shared" ref="H141:Q141" si="15">H140*H14/1000</f>
        <v>107.89387755</v>
      </c>
      <c r="I141" s="413">
        <f t="shared" si="15"/>
        <v>104.6031811</v>
      </c>
      <c r="J141" s="413">
        <f t="shared" si="15"/>
        <v>89.788967249999985</v>
      </c>
      <c r="K141" s="413">
        <f t="shared" si="15"/>
        <v>89.242794960000012</v>
      </c>
      <c r="L141" s="413">
        <f t="shared" si="15"/>
        <v>86.041789539999982</v>
      </c>
      <c r="M141" s="413">
        <f t="shared" si="15"/>
        <v>73.350335100000009</v>
      </c>
      <c r="N141" s="413">
        <f t="shared" si="15"/>
        <v>66.404414189999997</v>
      </c>
      <c r="O141" s="413">
        <f t="shared" si="15"/>
        <v>71.453963316599996</v>
      </c>
      <c r="P141" s="413">
        <f t="shared" si="15"/>
        <v>69.673245017049993</v>
      </c>
      <c r="Q141" s="413">
        <f t="shared" si="15"/>
        <v>77.217549406700002</v>
      </c>
      <c r="R141" s="413">
        <f>R140*R14/1000</f>
        <v>65.344005510000002</v>
      </c>
    </row>
    <row r="142" spans="1:18" ht="16.05" hidden="1" customHeight="1" outlineLevel="1" collapsed="1">
      <c r="B142" s="659" t="s">
        <v>20</v>
      </c>
      <c r="C142" s="658" t="s">
        <v>133</v>
      </c>
      <c r="D142" s="127" t="s">
        <v>74</v>
      </c>
      <c r="E142" s="127">
        <v>105</v>
      </c>
      <c r="F142" s="127" t="s">
        <v>75</v>
      </c>
      <c r="G142" s="128">
        <v>12641</v>
      </c>
      <c r="H142" s="128">
        <v>11010</v>
      </c>
      <c r="I142" s="128">
        <v>9885</v>
      </c>
      <c r="J142" s="128">
        <v>10751</v>
      </c>
      <c r="K142" s="128">
        <v>11179</v>
      </c>
      <c r="L142" s="128">
        <v>10150</v>
      </c>
      <c r="M142" s="129">
        <v>10407.5</v>
      </c>
      <c r="N142" s="128">
        <v>10407.5</v>
      </c>
      <c r="O142" s="128">
        <v>10531</v>
      </c>
      <c r="P142" s="128">
        <v>10651</v>
      </c>
      <c r="Q142" s="128">
        <v>9369</v>
      </c>
      <c r="R142" s="128">
        <v>8228</v>
      </c>
    </row>
    <row r="143" spans="1:18" ht="16.05" hidden="1" customHeight="1" outlineLevel="1">
      <c r="B143" s="660"/>
      <c r="C143" s="635"/>
      <c r="D143" s="118" t="s">
        <v>74</v>
      </c>
      <c r="E143" s="118">
        <v>102</v>
      </c>
      <c r="F143" s="118" t="s">
        <v>76</v>
      </c>
      <c r="G143" s="119">
        <v>5094</v>
      </c>
      <c r="H143" s="119">
        <v>5739</v>
      </c>
      <c r="I143" s="119">
        <v>5789</v>
      </c>
      <c r="J143" s="119">
        <v>6221</v>
      </c>
      <c r="K143" s="119">
        <v>4890</v>
      </c>
      <c r="L143" s="119">
        <v>6281.5</v>
      </c>
      <c r="M143" s="125">
        <v>6120</v>
      </c>
      <c r="N143" s="119">
        <v>5552</v>
      </c>
      <c r="O143" s="119">
        <v>6405</v>
      </c>
      <c r="P143" s="119">
        <v>7674</v>
      </c>
      <c r="Q143" s="119">
        <v>7185</v>
      </c>
      <c r="R143" s="119">
        <v>7219</v>
      </c>
    </row>
    <row r="144" spans="1:18" ht="16.05" hidden="1" customHeight="1" outlineLevel="1">
      <c r="B144" s="660"/>
      <c r="C144" s="635"/>
      <c r="D144" s="118" t="s">
        <v>74</v>
      </c>
      <c r="E144" s="118">
        <v>706</v>
      </c>
      <c r="F144" s="118" t="s">
        <v>77</v>
      </c>
      <c r="G144" s="119">
        <v>10394</v>
      </c>
      <c r="H144" s="119">
        <v>9311</v>
      </c>
      <c r="I144" s="119">
        <v>10131</v>
      </c>
      <c r="J144" s="119">
        <v>11546</v>
      </c>
      <c r="K144" s="119">
        <v>9376</v>
      </c>
      <c r="L144" s="119">
        <v>10390</v>
      </c>
      <c r="M144" s="125">
        <v>8374</v>
      </c>
      <c r="N144" s="119">
        <v>9661</v>
      </c>
      <c r="O144" s="119">
        <v>12309</v>
      </c>
      <c r="P144" s="119">
        <v>12145</v>
      </c>
      <c r="Q144" s="119">
        <v>12477</v>
      </c>
      <c r="R144" s="119">
        <v>12116</v>
      </c>
    </row>
    <row r="145" spans="2:20" ht="16.05" hidden="1" customHeight="1" outlineLevel="1">
      <c r="B145" s="660"/>
      <c r="C145" s="635"/>
      <c r="D145" s="118" t="s">
        <v>74</v>
      </c>
      <c r="E145" s="118">
        <v>703</v>
      </c>
      <c r="F145" s="118" t="s">
        <v>78</v>
      </c>
      <c r="G145" s="119">
        <v>15</v>
      </c>
      <c r="H145" s="119">
        <v>3200</v>
      </c>
      <c r="I145" s="119">
        <v>11156</v>
      </c>
      <c r="J145" s="119">
        <v>9336</v>
      </c>
      <c r="K145" s="119">
        <v>8914</v>
      </c>
      <c r="L145" s="119">
        <v>9186</v>
      </c>
      <c r="M145" s="125">
        <v>10402</v>
      </c>
      <c r="N145" s="119">
        <v>10191</v>
      </c>
      <c r="O145" s="119">
        <v>11200</v>
      </c>
      <c r="P145" s="119">
        <v>10687</v>
      </c>
      <c r="Q145" s="119">
        <v>10695</v>
      </c>
      <c r="R145" s="119">
        <v>10558</v>
      </c>
    </row>
    <row r="146" spans="2:20" ht="16.05" hidden="1" customHeight="1" outlineLevel="1">
      <c r="B146" s="660"/>
      <c r="C146" s="635"/>
      <c r="D146" s="118" t="s">
        <v>74</v>
      </c>
      <c r="E146" s="118">
        <v>605</v>
      </c>
      <c r="F146" s="118" t="s">
        <v>79</v>
      </c>
      <c r="G146" s="119">
        <v>9058</v>
      </c>
      <c r="H146" s="119">
        <v>8176</v>
      </c>
      <c r="I146" s="119">
        <v>7929</v>
      </c>
      <c r="J146" s="119">
        <v>7878</v>
      </c>
      <c r="K146" s="119">
        <v>7450</v>
      </c>
      <c r="L146" s="119">
        <v>6907</v>
      </c>
      <c r="M146" s="125">
        <v>7214</v>
      </c>
      <c r="N146" s="119">
        <v>6332</v>
      </c>
      <c r="O146" s="119">
        <v>6814</v>
      </c>
      <c r="P146" s="119">
        <v>7114</v>
      </c>
      <c r="Q146" s="119">
        <v>6873</v>
      </c>
      <c r="R146" s="119">
        <v>5781</v>
      </c>
    </row>
    <row r="147" spans="2:20" ht="16.05" hidden="1" customHeight="1" outlineLevel="1">
      <c r="B147" s="660"/>
      <c r="C147" s="635"/>
      <c r="D147" s="118" t="s">
        <v>74</v>
      </c>
      <c r="E147" s="118">
        <v>607</v>
      </c>
      <c r="F147" s="118" t="s">
        <v>80</v>
      </c>
      <c r="G147" s="119">
        <v>10410</v>
      </c>
      <c r="H147" s="119">
        <v>10264</v>
      </c>
      <c r="I147" s="119">
        <v>7998</v>
      </c>
      <c r="J147" s="119">
        <v>8888</v>
      </c>
      <c r="K147" s="119">
        <v>9641</v>
      </c>
      <c r="L147" s="119">
        <v>10298</v>
      </c>
      <c r="M147" s="125">
        <v>9877</v>
      </c>
      <c r="N147" s="119">
        <v>10683</v>
      </c>
      <c r="O147" s="119">
        <v>11072</v>
      </c>
      <c r="P147" s="119">
        <v>10027</v>
      </c>
      <c r="Q147" s="119">
        <v>9664</v>
      </c>
      <c r="R147" s="119">
        <v>8760</v>
      </c>
    </row>
    <row r="148" spans="2:20" ht="16.05" hidden="1" customHeight="1" outlineLevel="1">
      <c r="B148" s="660"/>
      <c r="C148" s="635"/>
      <c r="D148" s="118" t="s">
        <v>74</v>
      </c>
      <c r="E148" s="118" t="s">
        <v>81</v>
      </c>
      <c r="F148" s="118" t="s">
        <v>82</v>
      </c>
      <c r="G148" s="119">
        <v>18418</v>
      </c>
      <c r="H148" s="119">
        <v>18280</v>
      </c>
      <c r="I148" s="119">
        <v>16557</v>
      </c>
      <c r="J148" s="119">
        <v>14312</v>
      </c>
      <c r="K148" s="119">
        <v>16326</v>
      </c>
      <c r="L148" s="119">
        <v>14726</v>
      </c>
      <c r="M148" s="125">
        <v>16845</v>
      </c>
      <c r="N148" s="119">
        <v>14104</v>
      </c>
      <c r="O148" s="119">
        <v>15613</v>
      </c>
      <c r="P148" s="119">
        <v>16653</v>
      </c>
      <c r="Q148" s="119">
        <v>14426</v>
      </c>
      <c r="R148" s="119">
        <v>14570</v>
      </c>
    </row>
    <row r="149" spans="2:20" ht="16.05" hidden="1" customHeight="1" outlineLevel="1">
      <c r="B149" s="660"/>
      <c r="C149" s="635"/>
      <c r="D149" s="118" t="s">
        <v>74</v>
      </c>
      <c r="E149" s="118">
        <v>603</v>
      </c>
      <c r="F149" s="118" t="s">
        <v>83</v>
      </c>
      <c r="G149" s="119">
        <v>9459</v>
      </c>
      <c r="H149" s="119">
        <v>8686</v>
      </c>
      <c r="I149" s="119">
        <v>10490</v>
      </c>
      <c r="J149" s="119">
        <v>7924</v>
      </c>
      <c r="K149" s="119">
        <v>9170</v>
      </c>
      <c r="L149" s="119">
        <v>14653</v>
      </c>
      <c r="M149" s="125">
        <v>8199</v>
      </c>
      <c r="N149" s="119">
        <v>11298</v>
      </c>
      <c r="O149" s="119">
        <v>9047</v>
      </c>
      <c r="P149" s="119">
        <v>8164</v>
      </c>
      <c r="Q149" s="119">
        <v>7198</v>
      </c>
      <c r="R149" s="119">
        <v>8018</v>
      </c>
    </row>
    <row r="150" spans="2:20" ht="16.05" hidden="1" customHeight="1" outlineLevel="1">
      <c r="B150" s="660"/>
      <c r="C150" s="635"/>
      <c r="D150" s="118" t="s">
        <v>74</v>
      </c>
      <c r="E150" s="118">
        <v>606</v>
      </c>
      <c r="F150" s="118" t="s">
        <v>84</v>
      </c>
      <c r="G150" s="119">
        <v>10509</v>
      </c>
      <c r="H150" s="119">
        <v>9291</v>
      </c>
      <c r="I150" s="119">
        <v>11416</v>
      </c>
      <c r="J150" s="119">
        <v>13593</v>
      </c>
      <c r="K150" s="119">
        <v>12669</v>
      </c>
      <c r="L150" s="119">
        <v>7027</v>
      </c>
      <c r="M150" s="125">
        <v>7714</v>
      </c>
      <c r="N150" s="119">
        <v>10099</v>
      </c>
      <c r="O150" s="119">
        <v>10513</v>
      </c>
      <c r="P150" s="119">
        <v>13280</v>
      </c>
      <c r="Q150" s="119">
        <v>9490</v>
      </c>
      <c r="R150" s="119">
        <v>8104</v>
      </c>
    </row>
    <row r="151" spans="2:20" ht="16.05" hidden="1" customHeight="1" outlineLevel="1">
      <c r="B151" s="660"/>
      <c r="C151" s="635"/>
      <c r="D151" s="118" t="s">
        <v>74</v>
      </c>
      <c r="E151" s="118">
        <v>707</v>
      </c>
      <c r="F151" s="118" t="s">
        <v>85</v>
      </c>
      <c r="G151" s="119">
        <v>3696</v>
      </c>
      <c r="H151" s="119">
        <v>6430</v>
      </c>
      <c r="I151" s="119">
        <v>7614</v>
      </c>
      <c r="J151" s="119">
        <v>6613</v>
      </c>
      <c r="K151" s="119">
        <v>6820</v>
      </c>
      <c r="L151" s="119">
        <v>6107</v>
      </c>
      <c r="M151" s="125">
        <v>5673</v>
      </c>
      <c r="N151" s="119">
        <v>6164</v>
      </c>
      <c r="O151" s="119">
        <v>5636</v>
      </c>
      <c r="P151" s="119">
        <v>5349</v>
      </c>
      <c r="Q151" s="119">
        <v>7326</v>
      </c>
      <c r="R151" s="119">
        <v>4824</v>
      </c>
    </row>
    <row r="152" spans="2:20" ht="16.05" customHeight="1" collapsed="1">
      <c r="B152" s="660"/>
      <c r="C152" s="635"/>
      <c r="D152" s="133" t="s">
        <v>74</v>
      </c>
      <c r="E152" s="133"/>
      <c r="F152" s="133" t="s">
        <v>36</v>
      </c>
      <c r="G152" s="136">
        <f t="shared" ref="G152:Q152" si="16">SUM(G142:G151)</f>
        <v>89694</v>
      </c>
      <c r="H152" s="136">
        <f t="shared" si="16"/>
        <v>90387</v>
      </c>
      <c r="I152" s="136">
        <f t="shared" si="16"/>
        <v>98965</v>
      </c>
      <c r="J152" s="136">
        <f t="shared" si="16"/>
        <v>97062</v>
      </c>
      <c r="K152" s="136">
        <f t="shared" si="16"/>
        <v>96435</v>
      </c>
      <c r="L152" s="136">
        <f t="shared" si="16"/>
        <v>95725.5</v>
      </c>
      <c r="M152" s="136">
        <f t="shared" si="16"/>
        <v>90825.5</v>
      </c>
      <c r="N152" s="136">
        <f t="shared" si="16"/>
        <v>94491.5</v>
      </c>
      <c r="O152" s="136">
        <f t="shared" si="16"/>
        <v>99140</v>
      </c>
      <c r="P152" s="136">
        <f t="shared" si="16"/>
        <v>101744</v>
      </c>
      <c r="Q152" s="136">
        <f t="shared" si="16"/>
        <v>94703</v>
      </c>
      <c r="R152" s="136">
        <f>SUM(R142:R151)</f>
        <v>88178</v>
      </c>
      <c r="T152" s="158" t="s">
        <v>812</v>
      </c>
    </row>
    <row r="153" spans="2:20" ht="16.05" hidden="1" customHeight="1" outlineLevel="1">
      <c r="B153" s="660"/>
      <c r="C153" s="635"/>
      <c r="D153" s="121" t="s">
        <v>90</v>
      </c>
      <c r="E153" s="121">
        <v>301</v>
      </c>
      <c r="F153" s="121" t="s">
        <v>92</v>
      </c>
      <c r="G153" s="122"/>
      <c r="H153" s="122">
        <v>34</v>
      </c>
      <c r="I153" s="122">
        <v>63</v>
      </c>
      <c r="J153" s="122">
        <v>41</v>
      </c>
      <c r="K153" s="122">
        <v>38.5</v>
      </c>
      <c r="L153" s="122">
        <v>45</v>
      </c>
      <c r="M153" s="122">
        <v>42.5</v>
      </c>
      <c r="N153" s="122">
        <v>46</v>
      </c>
      <c r="O153" s="122">
        <v>35</v>
      </c>
      <c r="P153" s="122">
        <v>26</v>
      </c>
      <c r="Q153" s="122">
        <v>40</v>
      </c>
      <c r="R153" s="119"/>
    </row>
    <row r="154" spans="2:20" ht="16.05" hidden="1" customHeight="1" outlineLevel="1">
      <c r="B154" s="660"/>
      <c r="C154" s="635"/>
      <c r="D154" s="121" t="s">
        <v>90</v>
      </c>
      <c r="E154" s="121">
        <v>402</v>
      </c>
      <c r="F154" s="121" t="s">
        <v>93</v>
      </c>
      <c r="G154" s="122"/>
      <c r="H154" s="122">
        <v>40</v>
      </c>
      <c r="I154" s="122">
        <v>44</v>
      </c>
      <c r="J154" s="122">
        <v>52</v>
      </c>
      <c r="K154" s="122">
        <v>44</v>
      </c>
      <c r="L154" s="122">
        <v>107</v>
      </c>
      <c r="M154" s="122">
        <v>48</v>
      </c>
      <c r="N154" s="122">
        <v>31</v>
      </c>
      <c r="O154" s="122">
        <v>41</v>
      </c>
      <c r="P154" s="122">
        <v>99</v>
      </c>
      <c r="Q154" s="122">
        <v>122</v>
      </c>
      <c r="R154" s="119"/>
    </row>
    <row r="155" spans="2:20" ht="16.05" hidden="1" customHeight="1" outlineLevel="1">
      <c r="B155" s="660"/>
      <c r="C155" s="635"/>
      <c r="D155" s="121" t="s">
        <v>90</v>
      </c>
      <c r="E155" s="121">
        <v>503</v>
      </c>
      <c r="F155" s="121" t="s">
        <v>94</v>
      </c>
      <c r="G155" s="122"/>
      <c r="H155" s="122"/>
      <c r="I155" s="122">
        <v>20</v>
      </c>
      <c r="J155" s="122">
        <v>50</v>
      </c>
      <c r="K155" s="122">
        <v>46.5</v>
      </c>
      <c r="L155" s="122">
        <v>95</v>
      </c>
      <c r="M155" s="122">
        <v>18</v>
      </c>
      <c r="N155" s="122">
        <v>39</v>
      </c>
      <c r="O155" s="122">
        <v>40</v>
      </c>
      <c r="P155" s="122">
        <v>41</v>
      </c>
      <c r="Q155" s="122">
        <v>27</v>
      </c>
      <c r="R155" s="119"/>
    </row>
    <row r="156" spans="2:20" ht="15.45" customHeight="1" collapsed="1">
      <c r="B156" s="660"/>
      <c r="C156" s="635"/>
      <c r="D156" s="138" t="s">
        <v>90</v>
      </c>
      <c r="E156" s="138"/>
      <c r="F156" s="138" t="s">
        <v>95</v>
      </c>
      <c r="G156" s="139"/>
      <c r="H156" s="139">
        <f t="shared" ref="H156:R156" si="17">SUM(H153:H155)</f>
        <v>74</v>
      </c>
      <c r="I156" s="139">
        <f t="shared" si="17"/>
        <v>127</v>
      </c>
      <c r="J156" s="139">
        <f t="shared" si="17"/>
        <v>143</v>
      </c>
      <c r="K156" s="139">
        <f t="shared" si="17"/>
        <v>129</v>
      </c>
      <c r="L156" s="139">
        <f t="shared" si="17"/>
        <v>247</v>
      </c>
      <c r="M156" s="139">
        <f t="shared" si="17"/>
        <v>108.5</v>
      </c>
      <c r="N156" s="139">
        <f t="shared" si="17"/>
        <v>116</v>
      </c>
      <c r="O156" s="139">
        <f t="shared" si="17"/>
        <v>116</v>
      </c>
      <c r="P156" s="139">
        <f t="shared" si="17"/>
        <v>166</v>
      </c>
      <c r="Q156" s="139">
        <f t="shared" si="17"/>
        <v>189</v>
      </c>
      <c r="R156" s="139">
        <f t="shared" si="17"/>
        <v>0</v>
      </c>
    </row>
    <row r="157" spans="2:20" ht="16.05" hidden="1" customHeight="1" outlineLevel="1">
      <c r="B157" s="660"/>
      <c r="C157" s="635"/>
      <c r="D157" s="140" t="s">
        <v>96</v>
      </c>
      <c r="E157" s="140">
        <v>106</v>
      </c>
      <c r="F157" s="140" t="s">
        <v>97</v>
      </c>
      <c r="G157" s="141">
        <v>1839</v>
      </c>
      <c r="H157" s="141">
        <v>1977</v>
      </c>
      <c r="I157" s="141">
        <v>2416</v>
      </c>
      <c r="J157" s="141">
        <v>1738</v>
      </c>
      <c r="K157" s="141">
        <v>1421</v>
      </c>
      <c r="L157" s="141">
        <v>1492</v>
      </c>
      <c r="M157" s="141">
        <v>1304</v>
      </c>
      <c r="N157" s="141">
        <v>1182</v>
      </c>
      <c r="O157" s="141">
        <v>837</v>
      </c>
      <c r="P157" s="141">
        <v>933</v>
      </c>
      <c r="Q157" s="141">
        <v>766</v>
      </c>
      <c r="R157" s="141">
        <v>643</v>
      </c>
    </row>
    <row r="158" spans="2:20" ht="16.05" hidden="1" customHeight="1" outlineLevel="1">
      <c r="B158" s="660"/>
      <c r="C158" s="635"/>
      <c r="D158" s="140" t="s">
        <v>96</v>
      </c>
      <c r="E158" s="140">
        <v>113</v>
      </c>
      <c r="F158" s="140" t="s">
        <v>98</v>
      </c>
      <c r="G158" s="141">
        <v>10906</v>
      </c>
      <c r="H158" s="141">
        <v>4207</v>
      </c>
      <c r="I158" s="141">
        <v>4273</v>
      </c>
      <c r="J158" s="141">
        <v>5796</v>
      </c>
      <c r="K158" s="141">
        <v>1750</v>
      </c>
      <c r="L158" s="141">
        <v>1236</v>
      </c>
      <c r="M158" s="141">
        <v>1860</v>
      </c>
      <c r="N158" s="141">
        <v>3880</v>
      </c>
      <c r="O158" s="141">
        <v>673</v>
      </c>
      <c r="P158" s="141">
        <v>118</v>
      </c>
      <c r="Q158" s="141">
        <v>556</v>
      </c>
      <c r="R158" s="141">
        <v>163</v>
      </c>
    </row>
    <row r="159" spans="2:20" ht="16.05" hidden="1" customHeight="1" outlineLevel="1">
      <c r="B159" s="660"/>
      <c r="C159" s="635"/>
      <c r="D159" s="140" t="s">
        <v>96</v>
      </c>
      <c r="E159" s="140">
        <v>107</v>
      </c>
      <c r="F159" s="140" t="s">
        <v>99</v>
      </c>
      <c r="G159" s="141"/>
      <c r="H159" s="141">
        <v>1475</v>
      </c>
      <c r="I159" s="141">
        <v>1753</v>
      </c>
      <c r="J159" s="141">
        <v>2039</v>
      </c>
      <c r="K159" s="141">
        <v>1807</v>
      </c>
      <c r="L159" s="141">
        <v>1510</v>
      </c>
      <c r="M159" s="141">
        <v>1730</v>
      </c>
      <c r="N159" s="141">
        <v>1806</v>
      </c>
      <c r="O159" s="141">
        <v>1556</v>
      </c>
      <c r="P159" s="141">
        <v>1227</v>
      </c>
      <c r="Q159" s="141">
        <v>1372</v>
      </c>
      <c r="R159" s="141">
        <v>638</v>
      </c>
    </row>
    <row r="160" spans="2:20" ht="16.05" hidden="1" customHeight="1" outlineLevel="1">
      <c r="B160" s="660"/>
      <c r="C160" s="635"/>
      <c r="D160" s="140" t="s">
        <v>96</v>
      </c>
      <c r="E160" s="140">
        <v>307</v>
      </c>
      <c r="F160" s="140" t="s">
        <v>100</v>
      </c>
      <c r="G160" s="141">
        <v>639</v>
      </c>
      <c r="H160" s="141">
        <v>1011</v>
      </c>
      <c r="I160" s="141">
        <v>1040</v>
      </c>
      <c r="J160" s="141">
        <v>476</v>
      </c>
      <c r="K160" s="141">
        <v>554</v>
      </c>
      <c r="L160" s="141">
        <v>576</v>
      </c>
      <c r="M160" s="141">
        <v>772</v>
      </c>
      <c r="N160" s="141">
        <v>975</v>
      </c>
      <c r="O160" s="141">
        <v>729</v>
      </c>
      <c r="P160" s="141">
        <v>859</v>
      </c>
      <c r="Q160" s="141">
        <v>1237</v>
      </c>
      <c r="R160" s="141">
        <v>791</v>
      </c>
    </row>
    <row r="161" spans="2:18" ht="16.05" hidden="1" customHeight="1" outlineLevel="1">
      <c r="B161" s="660"/>
      <c r="C161" s="635"/>
      <c r="D161" s="140" t="s">
        <v>96</v>
      </c>
      <c r="E161" s="140">
        <v>304</v>
      </c>
      <c r="F161" s="140" t="s">
        <v>101</v>
      </c>
      <c r="G161" s="141">
        <v>3415</v>
      </c>
      <c r="H161" s="141">
        <v>4436</v>
      </c>
      <c r="I161" s="141">
        <v>4493</v>
      </c>
      <c r="J161" s="141">
        <v>3408</v>
      </c>
      <c r="K161" s="141">
        <v>1476</v>
      </c>
      <c r="L161" s="141">
        <v>1478</v>
      </c>
      <c r="M161" s="141">
        <v>927</v>
      </c>
      <c r="N161" s="141">
        <v>1391</v>
      </c>
      <c r="O161" s="141">
        <v>852</v>
      </c>
      <c r="P161" s="141">
        <v>1008</v>
      </c>
      <c r="Q161" s="141">
        <v>172</v>
      </c>
      <c r="R161" s="141">
        <v>504</v>
      </c>
    </row>
    <row r="162" spans="2:18" ht="16.05" hidden="1" customHeight="1" outlineLevel="1">
      <c r="B162" s="660"/>
      <c r="C162" s="635"/>
      <c r="D162" s="140" t="s">
        <v>96</v>
      </c>
      <c r="E162" s="140">
        <v>306</v>
      </c>
      <c r="F162" s="140" t="s">
        <v>102</v>
      </c>
      <c r="G162" s="141">
        <v>759</v>
      </c>
      <c r="H162" s="141">
        <v>150</v>
      </c>
      <c r="I162" s="141">
        <v>125</v>
      </c>
      <c r="J162" s="141">
        <v>145</v>
      </c>
      <c r="K162" s="141">
        <v>116</v>
      </c>
      <c r="L162" s="141">
        <v>172</v>
      </c>
      <c r="M162" s="141">
        <v>367</v>
      </c>
      <c r="N162" s="141">
        <v>322</v>
      </c>
      <c r="O162" s="141">
        <v>331</v>
      </c>
      <c r="P162" s="141">
        <v>241</v>
      </c>
      <c r="Q162" s="141">
        <v>380</v>
      </c>
      <c r="R162" s="141">
        <v>496</v>
      </c>
    </row>
    <row r="163" spans="2:18" ht="16.05" hidden="1" customHeight="1" outlineLevel="1">
      <c r="B163" s="660"/>
      <c r="C163" s="635"/>
      <c r="D163" s="140" t="s">
        <v>96</v>
      </c>
      <c r="E163" s="140" t="s">
        <v>134</v>
      </c>
      <c r="F163" s="140" t="s">
        <v>135</v>
      </c>
      <c r="G163" s="141">
        <v>20655</v>
      </c>
      <c r="H163" s="141">
        <v>24714</v>
      </c>
      <c r="I163" s="141">
        <v>17223</v>
      </c>
      <c r="J163" s="141">
        <v>19511</v>
      </c>
      <c r="K163" s="141">
        <v>18033</v>
      </c>
      <c r="L163" s="141">
        <v>25501</v>
      </c>
      <c r="M163" s="141">
        <v>17437.5</v>
      </c>
      <c r="N163" s="141">
        <v>13301</v>
      </c>
      <c r="O163" s="141">
        <v>12719</v>
      </c>
      <c r="P163" s="141">
        <v>9687</v>
      </c>
      <c r="Q163" s="141">
        <v>8419</v>
      </c>
      <c r="R163" s="141">
        <v>6680</v>
      </c>
    </row>
    <row r="164" spans="2:18" ht="16.05" hidden="1" customHeight="1" outlineLevel="1">
      <c r="B164" s="660"/>
      <c r="C164" s="635"/>
      <c r="D164" s="140" t="s">
        <v>96</v>
      </c>
      <c r="E164" s="140">
        <v>401</v>
      </c>
      <c r="F164" s="140" t="s">
        <v>105</v>
      </c>
      <c r="G164" s="141">
        <v>1506</v>
      </c>
      <c r="H164" s="141">
        <v>1418</v>
      </c>
      <c r="I164" s="141">
        <v>1224</v>
      </c>
      <c r="J164" s="141">
        <v>1282</v>
      </c>
      <c r="K164" s="141">
        <v>1592</v>
      </c>
      <c r="L164" s="141">
        <v>1412</v>
      </c>
      <c r="M164" s="141">
        <v>1930</v>
      </c>
      <c r="N164" s="141">
        <v>2059</v>
      </c>
      <c r="O164" s="141">
        <v>1620</v>
      </c>
      <c r="P164" s="141">
        <v>1236</v>
      </c>
      <c r="Q164" s="141">
        <v>792</v>
      </c>
      <c r="R164" s="141">
        <v>586</v>
      </c>
    </row>
    <row r="165" spans="2:18" ht="16.05" hidden="1" customHeight="1" outlineLevel="1">
      <c r="B165" s="660"/>
      <c r="C165" s="635"/>
      <c r="D165" s="140" t="s">
        <v>96</v>
      </c>
      <c r="E165" s="140">
        <v>403</v>
      </c>
      <c r="F165" s="140" t="s">
        <v>106</v>
      </c>
      <c r="G165" s="141">
        <v>9920</v>
      </c>
      <c r="H165" s="141">
        <v>12600</v>
      </c>
      <c r="I165" s="141">
        <v>10212</v>
      </c>
      <c r="J165" s="141">
        <v>6998</v>
      </c>
      <c r="K165" s="141">
        <v>9032</v>
      </c>
      <c r="L165" s="141">
        <v>8525</v>
      </c>
      <c r="M165" s="141">
        <v>7328</v>
      </c>
      <c r="N165" s="141">
        <v>6767</v>
      </c>
      <c r="O165" s="141">
        <v>5401</v>
      </c>
      <c r="P165" s="141">
        <v>3936</v>
      </c>
      <c r="Q165" s="141">
        <v>3587</v>
      </c>
      <c r="R165" s="141">
        <v>-500</v>
      </c>
    </row>
    <row r="166" spans="2:18" ht="16.05" hidden="1" customHeight="1" outlineLevel="1">
      <c r="B166" s="660"/>
      <c r="C166" s="635"/>
      <c r="D166" s="140" t="s">
        <v>96</v>
      </c>
      <c r="E166" s="140">
        <v>404</v>
      </c>
      <c r="F166" s="140" t="s">
        <v>107</v>
      </c>
      <c r="G166" s="141">
        <v>1752</v>
      </c>
      <c r="H166" s="141">
        <v>1356</v>
      </c>
      <c r="I166" s="141">
        <v>1181</v>
      </c>
      <c r="J166" s="141">
        <v>1457</v>
      </c>
      <c r="K166" s="141">
        <v>1306</v>
      </c>
      <c r="L166" s="141">
        <v>1403</v>
      </c>
      <c r="M166" s="141">
        <v>1677</v>
      </c>
      <c r="N166" s="141">
        <v>1747</v>
      </c>
      <c r="O166" s="141">
        <v>1976</v>
      </c>
      <c r="P166" s="141">
        <v>1560</v>
      </c>
      <c r="Q166" s="141">
        <v>1582</v>
      </c>
      <c r="R166" s="141">
        <v>1110</v>
      </c>
    </row>
    <row r="167" spans="2:18" ht="16.05" hidden="1" customHeight="1" outlineLevel="1">
      <c r="B167" s="660"/>
      <c r="C167" s="635"/>
      <c r="D167" s="140" t="s">
        <v>96</v>
      </c>
      <c r="E167" s="140">
        <v>407</v>
      </c>
      <c r="F167" s="140" t="s">
        <v>108</v>
      </c>
      <c r="G167" s="141">
        <v>665</v>
      </c>
      <c r="H167" s="141">
        <v>643</v>
      </c>
      <c r="I167" s="141">
        <v>826</v>
      </c>
      <c r="J167" s="141">
        <v>590</v>
      </c>
      <c r="K167" s="141">
        <v>506</v>
      </c>
      <c r="L167" s="141">
        <v>576</v>
      </c>
      <c r="M167" s="141">
        <v>333</v>
      </c>
      <c r="N167" s="141">
        <v>184</v>
      </c>
      <c r="O167" s="141">
        <v>208</v>
      </c>
      <c r="P167" s="141">
        <v>189</v>
      </c>
      <c r="Q167" s="141">
        <v>169</v>
      </c>
      <c r="R167" s="141">
        <v>79</v>
      </c>
    </row>
    <row r="168" spans="2:18" ht="16.05" hidden="1" customHeight="1" outlineLevel="1">
      <c r="B168" s="660"/>
      <c r="C168" s="635"/>
      <c r="D168" s="140" t="s">
        <v>96</v>
      </c>
      <c r="E168" s="140">
        <v>601</v>
      </c>
      <c r="F168" s="140" t="s">
        <v>109</v>
      </c>
      <c r="G168" s="141">
        <v>683</v>
      </c>
      <c r="H168" s="141">
        <v>861</v>
      </c>
      <c r="I168" s="141">
        <v>857</v>
      </c>
      <c r="J168" s="141">
        <v>790</v>
      </c>
      <c r="K168" s="141">
        <v>688</v>
      </c>
      <c r="L168" s="141">
        <v>737</v>
      </c>
      <c r="M168" s="141">
        <v>702</v>
      </c>
      <c r="N168" s="141">
        <v>649</v>
      </c>
      <c r="O168" s="141">
        <v>983</v>
      </c>
      <c r="P168" s="141">
        <v>889</v>
      </c>
      <c r="Q168" s="141">
        <v>840</v>
      </c>
      <c r="R168" s="141">
        <v>348</v>
      </c>
    </row>
    <row r="169" spans="2:18" ht="16.05" hidden="1" customHeight="1" outlineLevel="1">
      <c r="B169" s="660"/>
      <c r="C169" s="635"/>
      <c r="D169" s="140" t="s">
        <v>96</v>
      </c>
      <c r="E169" s="140">
        <v>405</v>
      </c>
      <c r="F169" s="140" t="s">
        <v>110</v>
      </c>
      <c r="G169" s="141">
        <v>924</v>
      </c>
      <c r="H169" s="141">
        <v>671</v>
      </c>
      <c r="I169" s="141">
        <v>1202</v>
      </c>
      <c r="J169" s="141">
        <v>1223</v>
      </c>
      <c r="K169" s="141">
        <v>791</v>
      </c>
      <c r="L169" s="141">
        <v>938</v>
      </c>
      <c r="M169" s="141">
        <v>921</v>
      </c>
      <c r="N169" s="141">
        <v>983</v>
      </c>
      <c r="O169" s="141">
        <v>1300</v>
      </c>
      <c r="P169" s="141">
        <v>903</v>
      </c>
      <c r="Q169" s="141">
        <v>815</v>
      </c>
      <c r="R169" s="141">
        <v>738</v>
      </c>
    </row>
    <row r="170" spans="2:18" ht="16.05" hidden="1" customHeight="1" outlineLevel="1">
      <c r="B170" s="660"/>
      <c r="C170" s="635"/>
      <c r="D170" s="140" t="s">
        <v>96</v>
      </c>
      <c r="E170" s="140">
        <v>501</v>
      </c>
      <c r="F170" s="140" t="s">
        <v>111</v>
      </c>
      <c r="G170" s="141">
        <v>18476</v>
      </c>
      <c r="H170" s="141">
        <v>21299</v>
      </c>
      <c r="I170" s="141">
        <v>13532</v>
      </c>
      <c r="J170" s="141">
        <v>6257</v>
      </c>
      <c r="K170" s="141">
        <v>3543</v>
      </c>
      <c r="L170" s="141">
        <v>3579</v>
      </c>
      <c r="M170" s="141">
        <v>2044</v>
      </c>
      <c r="N170" s="141">
        <v>2037</v>
      </c>
      <c r="O170" s="141">
        <v>2044</v>
      </c>
      <c r="P170" s="141">
        <v>2965</v>
      </c>
      <c r="Q170" s="141">
        <v>2058</v>
      </c>
      <c r="R170" s="141">
        <v>1476</v>
      </c>
    </row>
    <row r="171" spans="2:18" ht="16.05" hidden="1" customHeight="1" outlineLevel="1">
      <c r="B171" s="660"/>
      <c r="C171" s="635"/>
      <c r="D171" s="140" t="s">
        <v>96</v>
      </c>
      <c r="E171" s="140">
        <v>502</v>
      </c>
      <c r="F171" s="140" t="s">
        <v>112</v>
      </c>
      <c r="G171" s="141">
        <v>10720</v>
      </c>
      <c r="H171" s="141">
        <v>4237</v>
      </c>
      <c r="I171" s="141">
        <v>4629</v>
      </c>
      <c r="J171" s="141">
        <v>4110</v>
      </c>
      <c r="K171" s="141">
        <v>12792</v>
      </c>
      <c r="L171" s="141">
        <v>4129</v>
      </c>
      <c r="M171" s="141">
        <v>12346</v>
      </c>
      <c r="N171" s="141">
        <v>5290</v>
      </c>
      <c r="O171" s="141">
        <v>6223</v>
      </c>
      <c r="P171" s="141">
        <v>20289</v>
      </c>
      <c r="Q171" s="141">
        <v>12832</v>
      </c>
      <c r="R171" s="141">
        <v>4741</v>
      </c>
    </row>
    <row r="172" spans="2:18" ht="16.05" hidden="1" customHeight="1" outlineLevel="1">
      <c r="B172" s="660"/>
      <c r="C172" s="635"/>
      <c r="D172" s="140" t="s">
        <v>96</v>
      </c>
      <c r="E172" s="140">
        <v>504</v>
      </c>
      <c r="F172" s="140" t="s">
        <v>113</v>
      </c>
      <c r="G172" s="141">
        <v>959</v>
      </c>
      <c r="H172" s="141">
        <v>653</v>
      </c>
      <c r="I172" s="141">
        <v>731</v>
      </c>
      <c r="J172" s="141">
        <v>678</v>
      </c>
      <c r="K172" s="141">
        <v>1051</v>
      </c>
      <c r="L172" s="141">
        <v>766</v>
      </c>
      <c r="M172" s="141">
        <v>731</v>
      </c>
      <c r="N172" s="141">
        <v>771</v>
      </c>
      <c r="O172" s="141">
        <v>799</v>
      </c>
      <c r="P172" s="141">
        <v>536</v>
      </c>
      <c r="Q172" s="141">
        <v>655</v>
      </c>
      <c r="R172" s="141">
        <v>476</v>
      </c>
    </row>
    <row r="173" spans="2:18" ht="16.05" hidden="1" customHeight="1" outlineLevel="1">
      <c r="B173" s="660"/>
      <c r="C173" s="635"/>
      <c r="D173" s="140" t="s">
        <v>96</v>
      </c>
      <c r="E173" s="140">
        <v>406</v>
      </c>
      <c r="F173" s="140" t="s">
        <v>114</v>
      </c>
      <c r="G173" s="141">
        <v>9614</v>
      </c>
      <c r="H173" s="141">
        <v>3996</v>
      </c>
      <c r="I173" s="141">
        <v>4430</v>
      </c>
      <c r="J173" s="141">
        <v>5004</v>
      </c>
      <c r="K173" s="141">
        <v>3776</v>
      </c>
      <c r="L173" s="141">
        <v>1193</v>
      </c>
      <c r="M173" s="141">
        <v>1665</v>
      </c>
      <c r="N173" s="141">
        <v>1212</v>
      </c>
      <c r="O173" s="141">
        <v>4193</v>
      </c>
      <c r="P173" s="141">
        <v>3073</v>
      </c>
      <c r="Q173" s="141">
        <v>1439</v>
      </c>
      <c r="R173" s="141">
        <v>1214</v>
      </c>
    </row>
    <row r="174" spans="2:18" ht="16.05" hidden="1" customHeight="1" outlineLevel="1">
      <c r="B174" s="660"/>
      <c r="C174" s="635"/>
      <c r="D174" s="140" t="s">
        <v>96</v>
      </c>
      <c r="E174" s="140">
        <v>705</v>
      </c>
      <c r="F174" s="140" t="s">
        <v>116</v>
      </c>
      <c r="G174" s="141">
        <v>335</v>
      </c>
      <c r="H174" s="141">
        <v>205</v>
      </c>
      <c r="I174" s="141">
        <v>198</v>
      </c>
      <c r="J174" s="141">
        <v>244</v>
      </c>
      <c r="K174" s="141">
        <v>207</v>
      </c>
      <c r="L174" s="141">
        <v>0</v>
      </c>
      <c r="M174" s="141">
        <v>0</v>
      </c>
      <c r="N174" s="141">
        <v>0</v>
      </c>
      <c r="O174" s="141"/>
      <c r="P174" s="141"/>
      <c r="Q174" s="141"/>
      <c r="R174" s="141"/>
    </row>
    <row r="175" spans="2:18" ht="16.05" hidden="1" customHeight="1" outlineLevel="1">
      <c r="B175" s="660"/>
      <c r="C175" s="635"/>
      <c r="D175" s="140" t="s">
        <v>96</v>
      </c>
      <c r="E175" s="140"/>
      <c r="F175" s="140" t="s">
        <v>136</v>
      </c>
      <c r="G175" s="141"/>
      <c r="H175" s="141"/>
      <c r="I175" s="141">
        <v>37</v>
      </c>
      <c r="J175" s="141">
        <v>222</v>
      </c>
      <c r="K175" s="141">
        <v>160</v>
      </c>
      <c r="L175" s="141">
        <v>179</v>
      </c>
      <c r="M175" s="141">
        <v>212</v>
      </c>
      <c r="N175" s="141">
        <v>177</v>
      </c>
      <c r="O175" s="141">
        <v>231</v>
      </c>
      <c r="P175" s="141">
        <v>300</v>
      </c>
      <c r="Q175" s="141">
        <v>216</v>
      </c>
      <c r="R175" s="141"/>
    </row>
    <row r="176" spans="2:18" ht="16.05" customHeight="1" collapsed="1">
      <c r="B176" s="660"/>
      <c r="C176" s="635"/>
      <c r="D176" s="140" t="s">
        <v>96</v>
      </c>
      <c r="E176" s="140"/>
      <c r="F176" s="140" t="s">
        <v>95</v>
      </c>
      <c r="G176" s="141">
        <f t="shared" ref="G176:R176" si="18">SUM(G157:G175)</f>
        <v>93767</v>
      </c>
      <c r="H176" s="141">
        <f t="shared" si="18"/>
        <v>85909</v>
      </c>
      <c r="I176" s="141">
        <f t="shared" si="18"/>
        <v>70382</v>
      </c>
      <c r="J176" s="141">
        <f t="shared" si="18"/>
        <v>61968</v>
      </c>
      <c r="K176" s="141">
        <f t="shared" si="18"/>
        <v>60601</v>
      </c>
      <c r="L176" s="141">
        <f t="shared" si="18"/>
        <v>55402</v>
      </c>
      <c r="M176" s="141">
        <f t="shared" si="18"/>
        <v>54286.5</v>
      </c>
      <c r="N176" s="141">
        <f t="shared" si="18"/>
        <v>44733</v>
      </c>
      <c r="O176" s="141">
        <f t="shared" si="18"/>
        <v>42675</v>
      </c>
      <c r="P176" s="141">
        <f t="shared" si="18"/>
        <v>49949</v>
      </c>
      <c r="Q176" s="141">
        <f t="shared" si="18"/>
        <v>37887</v>
      </c>
      <c r="R176" s="141">
        <f t="shared" si="18"/>
        <v>20183</v>
      </c>
    </row>
    <row r="177" spans="2:18" ht="16.05" hidden="1" customHeight="1" outlineLevel="1">
      <c r="B177" s="660"/>
      <c r="C177" s="635"/>
      <c r="D177" s="143" t="s">
        <v>117</v>
      </c>
      <c r="E177" s="143">
        <v>300</v>
      </c>
      <c r="F177" s="143" t="s">
        <v>118</v>
      </c>
      <c r="G177" s="144">
        <v>28</v>
      </c>
      <c r="H177" s="144">
        <v>480</v>
      </c>
      <c r="I177" s="144">
        <v>635</v>
      </c>
      <c r="J177" s="144">
        <v>662</v>
      </c>
      <c r="K177" s="144">
        <v>1014</v>
      </c>
      <c r="L177" s="144">
        <v>1192</v>
      </c>
      <c r="M177" s="144">
        <v>1576</v>
      </c>
      <c r="N177" s="144">
        <v>911</v>
      </c>
      <c r="O177" s="144">
        <v>960</v>
      </c>
      <c r="P177" s="144">
        <v>1122</v>
      </c>
      <c r="Q177" s="144">
        <v>1292</v>
      </c>
      <c r="R177" s="144">
        <v>572</v>
      </c>
    </row>
    <row r="178" spans="2:18" ht="16.05" hidden="1" customHeight="1" outlineLevel="1">
      <c r="B178" s="660"/>
      <c r="C178" s="635"/>
      <c r="D178" s="143" t="s">
        <v>117</v>
      </c>
      <c r="E178" s="143" t="s">
        <v>137</v>
      </c>
      <c r="F178" s="143" t="s">
        <v>138</v>
      </c>
      <c r="G178" s="144">
        <v>769</v>
      </c>
      <c r="H178" s="144">
        <v>700</v>
      </c>
      <c r="I178" s="144">
        <v>701</v>
      </c>
      <c r="J178" s="144">
        <v>585</v>
      </c>
      <c r="K178" s="144">
        <v>634</v>
      </c>
      <c r="L178" s="144">
        <v>692</v>
      </c>
      <c r="M178" s="144">
        <v>674</v>
      </c>
      <c r="N178" s="144">
        <v>664</v>
      </c>
      <c r="O178" s="144">
        <v>780</v>
      </c>
      <c r="P178" s="144">
        <v>868</v>
      </c>
      <c r="Q178" s="144">
        <v>737</v>
      </c>
      <c r="R178" s="144">
        <v>708</v>
      </c>
    </row>
    <row r="179" spans="2:18" ht="16.05" hidden="1" customHeight="1" outlineLevel="1">
      <c r="B179" s="660"/>
      <c r="C179" s="635"/>
      <c r="D179" s="143" t="s">
        <v>117</v>
      </c>
      <c r="E179" s="143">
        <v>201</v>
      </c>
      <c r="F179" s="143" t="s">
        <v>121</v>
      </c>
      <c r="G179" s="144">
        <v>217</v>
      </c>
      <c r="H179" s="144">
        <v>237</v>
      </c>
      <c r="I179" s="144">
        <v>445</v>
      </c>
      <c r="J179" s="144">
        <v>230</v>
      </c>
      <c r="K179" s="144">
        <v>223</v>
      </c>
      <c r="L179" s="144">
        <v>293</v>
      </c>
      <c r="M179" s="144">
        <v>265</v>
      </c>
      <c r="N179" s="144">
        <v>239</v>
      </c>
      <c r="O179" s="144">
        <v>276</v>
      </c>
      <c r="P179" s="144">
        <v>253</v>
      </c>
      <c r="Q179" s="144">
        <v>235</v>
      </c>
      <c r="R179" s="144">
        <v>140</v>
      </c>
    </row>
    <row r="180" spans="2:18" ht="16.05" hidden="1" customHeight="1" outlineLevel="1">
      <c r="B180" s="660"/>
      <c r="C180" s="635"/>
      <c r="D180" s="143" t="s">
        <v>117</v>
      </c>
      <c r="E180" s="143">
        <v>206</v>
      </c>
      <c r="F180" s="143" t="s">
        <v>122</v>
      </c>
      <c r="G180" s="144">
        <v>176</v>
      </c>
      <c r="H180" s="144">
        <v>148</v>
      </c>
      <c r="I180" s="144">
        <v>120</v>
      </c>
      <c r="J180" s="144">
        <v>151</v>
      </c>
      <c r="K180" s="144">
        <v>150</v>
      </c>
      <c r="L180" s="144">
        <v>160</v>
      </c>
      <c r="M180" s="144">
        <v>144</v>
      </c>
      <c r="N180" s="144">
        <v>181</v>
      </c>
      <c r="O180" s="144">
        <v>270</v>
      </c>
      <c r="P180" s="144">
        <v>148</v>
      </c>
      <c r="Q180" s="144">
        <v>138</v>
      </c>
      <c r="R180" s="144">
        <v>103</v>
      </c>
    </row>
    <row r="181" spans="2:18" ht="16.05" hidden="1" customHeight="1" outlineLevel="1">
      <c r="B181" s="660"/>
      <c r="C181" s="635"/>
      <c r="D181" s="143" t="s">
        <v>117</v>
      </c>
      <c r="E181" s="143">
        <v>602</v>
      </c>
      <c r="F181" s="143" t="s">
        <v>126</v>
      </c>
      <c r="G181" s="144">
        <v>488</v>
      </c>
      <c r="H181" s="144">
        <v>372</v>
      </c>
      <c r="I181" s="144">
        <v>423</v>
      </c>
      <c r="J181" s="144">
        <v>415</v>
      </c>
      <c r="K181" s="144">
        <v>449</v>
      </c>
      <c r="L181" s="144">
        <v>414</v>
      </c>
      <c r="M181" s="144">
        <v>345</v>
      </c>
      <c r="N181" s="144">
        <v>443</v>
      </c>
      <c r="O181" s="144">
        <v>637</v>
      </c>
      <c r="P181" s="144">
        <v>658</v>
      </c>
      <c r="Q181" s="144">
        <v>452</v>
      </c>
      <c r="R181" s="144">
        <v>175</v>
      </c>
    </row>
    <row r="182" spans="2:18" ht="16.05" hidden="1" customHeight="1" outlineLevel="1">
      <c r="B182" s="660"/>
      <c r="C182" s="635"/>
      <c r="D182" s="143" t="s">
        <v>117</v>
      </c>
      <c r="E182" s="143">
        <v>408</v>
      </c>
      <c r="F182" s="143" t="s">
        <v>127</v>
      </c>
      <c r="G182" s="144"/>
      <c r="H182" s="144"/>
      <c r="I182" s="144">
        <v>37</v>
      </c>
      <c r="J182" s="144">
        <v>250</v>
      </c>
      <c r="K182" s="144">
        <v>263</v>
      </c>
      <c r="L182" s="144">
        <v>361</v>
      </c>
      <c r="M182" s="144">
        <v>381</v>
      </c>
      <c r="N182" s="144">
        <v>146</v>
      </c>
      <c r="O182" s="144">
        <v>435</v>
      </c>
      <c r="P182" s="144">
        <v>16</v>
      </c>
      <c r="Q182" s="144"/>
      <c r="R182" s="144"/>
    </row>
    <row r="183" spans="2:18" ht="16.05" customHeight="1" collapsed="1">
      <c r="B183" s="660"/>
      <c r="C183" s="635"/>
      <c r="D183" s="143" t="s">
        <v>117</v>
      </c>
      <c r="E183" s="143"/>
      <c r="F183" s="143" t="s">
        <v>95</v>
      </c>
      <c r="G183" s="144">
        <f t="shared" ref="G183:N183" si="19">SUM(G177:G182)</f>
        <v>1678</v>
      </c>
      <c r="H183" s="144">
        <f t="shared" si="19"/>
        <v>1937</v>
      </c>
      <c r="I183" s="144">
        <f t="shared" si="19"/>
        <v>2361</v>
      </c>
      <c r="J183" s="144">
        <f t="shared" si="19"/>
        <v>2293</v>
      </c>
      <c r="K183" s="144">
        <f t="shared" si="19"/>
        <v>2733</v>
      </c>
      <c r="L183" s="144">
        <f t="shared" si="19"/>
        <v>3112</v>
      </c>
      <c r="M183" s="144">
        <f t="shared" si="19"/>
        <v>3385</v>
      </c>
      <c r="N183" s="144">
        <f t="shared" si="19"/>
        <v>2584</v>
      </c>
      <c r="O183" s="144">
        <f>SUM(O177:O182)</f>
        <v>3358</v>
      </c>
      <c r="P183" s="144">
        <f>SUM(P177:P182)</f>
        <v>3065</v>
      </c>
      <c r="Q183" s="144">
        <f>SUM(Q177:Q182)</f>
        <v>2854</v>
      </c>
      <c r="R183" s="144">
        <f>SUM(R177:R182)</f>
        <v>1698</v>
      </c>
    </row>
    <row r="184" spans="2:18" ht="16.05" customHeight="1">
      <c r="B184" s="660"/>
      <c r="C184" s="635"/>
      <c r="D184" s="134" t="s">
        <v>128</v>
      </c>
      <c r="E184" s="134"/>
      <c r="F184" s="134" t="s">
        <v>36</v>
      </c>
      <c r="G184" s="135">
        <f t="shared" ref="G184:R184" si="20">G156+G176+G183</f>
        <v>95445</v>
      </c>
      <c r="H184" s="135">
        <f t="shared" si="20"/>
        <v>87920</v>
      </c>
      <c r="I184" s="135">
        <f t="shared" si="20"/>
        <v>72870</v>
      </c>
      <c r="J184" s="135">
        <f t="shared" si="20"/>
        <v>64404</v>
      </c>
      <c r="K184" s="135">
        <f t="shared" si="20"/>
        <v>63463</v>
      </c>
      <c r="L184" s="135">
        <f t="shared" si="20"/>
        <v>58761</v>
      </c>
      <c r="M184" s="135">
        <f t="shared" si="20"/>
        <v>57780</v>
      </c>
      <c r="N184" s="135">
        <f t="shared" si="20"/>
        <v>47433</v>
      </c>
      <c r="O184" s="135">
        <f t="shared" si="20"/>
        <v>46149</v>
      </c>
      <c r="P184" s="135">
        <f t="shared" si="20"/>
        <v>53180</v>
      </c>
      <c r="Q184" s="135">
        <f t="shared" si="20"/>
        <v>40930</v>
      </c>
      <c r="R184" s="135">
        <f t="shared" si="20"/>
        <v>21881</v>
      </c>
    </row>
    <row r="185" spans="2:18" ht="16.05" hidden="1" customHeight="1" outlineLevel="1">
      <c r="B185" s="660"/>
      <c r="C185" s="635"/>
      <c r="D185" s="123" t="s">
        <v>129</v>
      </c>
      <c r="E185" s="123">
        <v>704</v>
      </c>
      <c r="F185" s="123" t="s">
        <v>130</v>
      </c>
      <c r="G185" s="124">
        <v>16890</v>
      </c>
      <c r="H185" s="124">
        <v>14652</v>
      </c>
      <c r="I185" s="124">
        <v>13696</v>
      </c>
      <c r="J185" s="124">
        <v>12364</v>
      </c>
      <c r="K185" s="124">
        <v>10964</v>
      </c>
      <c r="L185" s="124">
        <v>11260</v>
      </c>
      <c r="M185" s="124">
        <v>11279</v>
      </c>
      <c r="N185" s="124">
        <v>9906</v>
      </c>
      <c r="O185" s="124">
        <v>7634</v>
      </c>
      <c r="P185" s="124">
        <v>5616</v>
      </c>
      <c r="Q185" s="124">
        <v>5628</v>
      </c>
      <c r="R185" s="124">
        <v>2761</v>
      </c>
    </row>
    <row r="186" spans="2:18" ht="16.05" hidden="1" customHeight="1" outlineLevel="1">
      <c r="B186" s="660"/>
      <c r="C186" s="635"/>
      <c r="D186" s="123" t="s">
        <v>129</v>
      </c>
      <c r="E186" s="123">
        <v>608</v>
      </c>
      <c r="F186" s="123" t="s">
        <v>131</v>
      </c>
      <c r="G186" s="124">
        <v>5207</v>
      </c>
      <c r="H186" s="124">
        <v>4263</v>
      </c>
      <c r="I186" s="124">
        <v>5965</v>
      </c>
      <c r="J186" s="124">
        <v>3562</v>
      </c>
      <c r="K186" s="124">
        <v>3009</v>
      </c>
      <c r="L186" s="124">
        <v>2953</v>
      </c>
      <c r="M186" s="124">
        <v>3978</v>
      </c>
      <c r="N186" s="124">
        <v>3408</v>
      </c>
      <c r="O186" s="124">
        <v>3096</v>
      </c>
      <c r="P186" s="124">
        <v>3631</v>
      </c>
      <c r="Q186" s="124">
        <v>3813</v>
      </c>
      <c r="R186" s="124">
        <v>2242</v>
      </c>
    </row>
    <row r="187" spans="2:18" ht="16.05" customHeight="1" collapsed="1">
      <c r="B187" s="660"/>
      <c r="C187" s="635"/>
      <c r="D187" s="134" t="s">
        <v>129</v>
      </c>
      <c r="E187" s="134"/>
      <c r="F187" s="134" t="s">
        <v>36</v>
      </c>
      <c r="G187" s="135">
        <f t="shared" ref="G187:N187" si="21">SUM(G185:G186)</f>
        <v>22097</v>
      </c>
      <c r="H187" s="135">
        <f t="shared" si="21"/>
        <v>18915</v>
      </c>
      <c r="I187" s="135">
        <f t="shared" si="21"/>
        <v>19661</v>
      </c>
      <c r="J187" s="135">
        <f t="shared" si="21"/>
        <v>15926</v>
      </c>
      <c r="K187" s="135">
        <f t="shared" si="21"/>
        <v>13973</v>
      </c>
      <c r="L187" s="135">
        <f t="shared" si="21"/>
        <v>14213</v>
      </c>
      <c r="M187" s="135">
        <f t="shared" si="21"/>
        <v>15257</v>
      </c>
      <c r="N187" s="135">
        <f t="shared" si="21"/>
        <v>13314</v>
      </c>
      <c r="O187" s="135">
        <f>SUM(O185:O186)</f>
        <v>10730</v>
      </c>
      <c r="P187" s="135">
        <f>SUM(P185:P186)</f>
        <v>9247</v>
      </c>
      <c r="Q187" s="135">
        <f>SUM(Q185:Q186)</f>
        <v>9441</v>
      </c>
      <c r="R187" s="135">
        <f>SUM(R185:R186)</f>
        <v>5003</v>
      </c>
    </row>
    <row r="188" spans="2:18" ht="16.05" customHeight="1">
      <c r="B188" s="660"/>
      <c r="C188" s="636"/>
      <c r="D188" s="130" t="s">
        <v>132</v>
      </c>
      <c r="E188" s="130"/>
      <c r="F188" s="130" t="s">
        <v>36</v>
      </c>
      <c r="G188" s="131">
        <f t="shared" ref="G188:R188" si="22">G152+G184+G187</f>
        <v>207236</v>
      </c>
      <c r="H188" s="131">
        <f t="shared" si="22"/>
        <v>197222</v>
      </c>
      <c r="I188" s="131">
        <f t="shared" si="22"/>
        <v>191496</v>
      </c>
      <c r="J188" s="131">
        <f t="shared" si="22"/>
        <v>177392</v>
      </c>
      <c r="K188" s="131">
        <f t="shared" si="22"/>
        <v>173871</v>
      </c>
      <c r="L188" s="131">
        <f t="shared" si="22"/>
        <v>168699.5</v>
      </c>
      <c r="M188" s="131">
        <f t="shared" si="22"/>
        <v>163862.5</v>
      </c>
      <c r="N188" s="131">
        <f t="shared" si="22"/>
        <v>155238.5</v>
      </c>
      <c r="O188" s="131">
        <f t="shared" si="22"/>
        <v>156019</v>
      </c>
      <c r="P188" s="131">
        <f t="shared" si="22"/>
        <v>164171</v>
      </c>
      <c r="Q188" s="131">
        <f t="shared" si="22"/>
        <v>145074</v>
      </c>
      <c r="R188" s="131">
        <f t="shared" si="22"/>
        <v>115062</v>
      </c>
    </row>
    <row r="189" spans="2:18" ht="16.05" hidden="1" customHeight="1" outlineLevel="1">
      <c r="B189" s="660"/>
      <c r="C189" s="647" t="s">
        <v>802</v>
      </c>
      <c r="D189" s="118" t="s">
        <v>74</v>
      </c>
      <c r="E189" s="118">
        <v>105</v>
      </c>
      <c r="F189" s="118" t="s">
        <v>75</v>
      </c>
      <c r="G189" s="119">
        <f>G142*'Données Energie'!G$5</f>
        <v>1668.6120000000001</v>
      </c>
      <c r="H189" s="119">
        <f>H142*'Données Energie'!H$5</f>
        <v>1453.3200000000002</v>
      </c>
      <c r="I189" s="119">
        <f>I142*'Données Energie'!I$5</f>
        <v>1304.8200000000002</v>
      </c>
      <c r="J189" s="119">
        <f>J142*'Données Energie'!J$5</f>
        <v>1419.1320000000001</v>
      </c>
      <c r="K189" s="119">
        <f>K142*'Données Energie'!K$5</f>
        <v>1475.6280000000002</v>
      </c>
      <c r="L189" s="119">
        <f>L142*'Données Energie'!L$5</f>
        <v>1339.8</v>
      </c>
      <c r="M189" s="119">
        <f>M142*'Données Energie'!M$5</f>
        <v>1373.79</v>
      </c>
      <c r="N189" s="119">
        <f>N142*'Données Energie'!N$5</f>
        <v>1373.79</v>
      </c>
      <c r="O189" s="119">
        <f>O142*'Données Energie'!O$5</f>
        <v>1390.0920000000001</v>
      </c>
      <c r="P189" s="119">
        <f>P142*'Données Energie'!P$5</f>
        <v>1405.932</v>
      </c>
      <c r="Q189" s="119">
        <f>Q142*'Données Energie'!Q$5</f>
        <v>1236.7080000000001</v>
      </c>
      <c r="R189" s="119">
        <f>R142*'Données Energie'!R$5</f>
        <v>1086.096</v>
      </c>
    </row>
    <row r="190" spans="2:18" ht="16.05" hidden="1" customHeight="1" outlineLevel="1">
      <c r="B190" s="660"/>
      <c r="C190" s="635"/>
      <c r="D190" s="118" t="s">
        <v>74</v>
      </c>
      <c r="E190" s="118">
        <v>102</v>
      </c>
      <c r="F190" s="118" t="s">
        <v>76</v>
      </c>
      <c r="G190" s="119">
        <f>G143*'Données Energie'!G$5</f>
        <v>672.40800000000002</v>
      </c>
      <c r="H190" s="119">
        <f>H143*'Données Energie'!H$5</f>
        <v>757.548</v>
      </c>
      <c r="I190" s="119">
        <f>I143*'Données Energie'!I$5</f>
        <v>764.14800000000002</v>
      </c>
      <c r="J190" s="119">
        <f>J143*'Données Energie'!J$5</f>
        <v>821.17200000000003</v>
      </c>
      <c r="K190" s="119">
        <f>K143*'Données Energie'!K$5</f>
        <v>645.48</v>
      </c>
      <c r="L190" s="119">
        <f>L143*'Données Energie'!L$5</f>
        <v>829.15800000000002</v>
      </c>
      <c r="M190" s="119">
        <f>M143*'Données Energie'!M$5</f>
        <v>807.84</v>
      </c>
      <c r="N190" s="119">
        <f>N143*'Données Energie'!N$5</f>
        <v>732.86400000000003</v>
      </c>
      <c r="O190" s="119">
        <f>O143*'Données Energie'!O$5</f>
        <v>845.46</v>
      </c>
      <c r="P190" s="119">
        <f>P143*'Données Energie'!P$5</f>
        <v>1012.9680000000001</v>
      </c>
      <c r="Q190" s="119">
        <f>Q143*'Données Energie'!Q$5</f>
        <v>948.42000000000007</v>
      </c>
      <c r="R190" s="119">
        <f>R143*'Données Energie'!R$5</f>
        <v>952.90800000000002</v>
      </c>
    </row>
    <row r="191" spans="2:18" ht="16.05" hidden="1" customHeight="1" outlineLevel="1">
      <c r="B191" s="660"/>
      <c r="C191" s="635"/>
      <c r="D191" s="118" t="s">
        <v>74</v>
      </c>
      <c r="E191" s="118">
        <v>706</v>
      </c>
      <c r="F191" s="118" t="s">
        <v>77</v>
      </c>
      <c r="G191" s="119">
        <f>G144*'Données Energie'!G$5</f>
        <v>1372.008</v>
      </c>
      <c r="H191" s="119">
        <f>H144*'Données Energie'!H$5</f>
        <v>1229.0520000000001</v>
      </c>
      <c r="I191" s="119">
        <f>I144*'Données Energie'!I$5</f>
        <v>1337.2920000000001</v>
      </c>
      <c r="J191" s="119">
        <f>J144*'Données Energie'!J$5</f>
        <v>1524.0720000000001</v>
      </c>
      <c r="K191" s="119">
        <f>K144*'Données Energie'!K$5</f>
        <v>1237.6320000000001</v>
      </c>
      <c r="L191" s="119">
        <f>L144*'Données Energie'!L$5</f>
        <v>1371.48</v>
      </c>
      <c r="M191" s="119">
        <f>M144*'Données Energie'!M$5</f>
        <v>1105.3680000000002</v>
      </c>
      <c r="N191" s="119">
        <f>N144*'Données Energie'!N$5</f>
        <v>1275.252</v>
      </c>
      <c r="O191" s="119">
        <f>O144*'Données Energie'!O$5</f>
        <v>1624.788</v>
      </c>
      <c r="P191" s="119">
        <f>P144*'Données Energie'!P$5</f>
        <v>1603.14</v>
      </c>
      <c r="Q191" s="119">
        <f>Q144*'Données Energie'!Q$5</f>
        <v>1646.9640000000002</v>
      </c>
      <c r="R191" s="119">
        <f>R144*'Données Energie'!R$5</f>
        <v>1599.3120000000001</v>
      </c>
    </row>
    <row r="192" spans="2:18" ht="16.05" hidden="1" customHeight="1" outlineLevel="1">
      <c r="B192" s="660"/>
      <c r="C192" s="635"/>
      <c r="D192" s="118" t="s">
        <v>74</v>
      </c>
      <c r="E192" s="118">
        <v>703</v>
      </c>
      <c r="F192" s="118" t="s">
        <v>78</v>
      </c>
      <c r="G192" s="119">
        <f>G145*'Données Energie'!G$5</f>
        <v>1.98</v>
      </c>
      <c r="H192" s="119">
        <f>H145*'Données Energie'!H$5</f>
        <v>422.40000000000003</v>
      </c>
      <c r="I192" s="119">
        <f>I145*'Données Energie'!I$5</f>
        <v>1472.5920000000001</v>
      </c>
      <c r="J192" s="119">
        <f>J145*'Données Energie'!J$5</f>
        <v>1232.3520000000001</v>
      </c>
      <c r="K192" s="119">
        <f>K145*'Données Energie'!K$5</f>
        <v>1176.6480000000001</v>
      </c>
      <c r="L192" s="119">
        <f>L145*'Données Energie'!L$5</f>
        <v>1212.5520000000001</v>
      </c>
      <c r="M192" s="119">
        <f>M145*'Données Energie'!M$5</f>
        <v>1373.0640000000001</v>
      </c>
      <c r="N192" s="119">
        <f>N145*'Données Energie'!N$5</f>
        <v>1345.212</v>
      </c>
      <c r="O192" s="119">
        <f>O145*'Données Energie'!O$5</f>
        <v>1478.4</v>
      </c>
      <c r="P192" s="119">
        <f>P145*'Données Energie'!P$5</f>
        <v>1410.684</v>
      </c>
      <c r="Q192" s="119">
        <f>Q145*'Données Energie'!Q$5</f>
        <v>1411.74</v>
      </c>
      <c r="R192" s="119">
        <f>R145*'Données Energie'!R$5</f>
        <v>1393.6560000000002</v>
      </c>
    </row>
    <row r="193" spans="2:18" ht="16.05" hidden="1" customHeight="1" outlineLevel="1">
      <c r="B193" s="660"/>
      <c r="C193" s="635"/>
      <c r="D193" s="118" t="s">
        <v>74</v>
      </c>
      <c r="E193" s="118">
        <v>605</v>
      </c>
      <c r="F193" s="118" t="s">
        <v>79</v>
      </c>
      <c r="G193" s="119">
        <f>G146*'Données Energie'!G$5</f>
        <v>1195.6559999999999</v>
      </c>
      <c r="H193" s="119">
        <f>H146*'Données Energie'!H$5</f>
        <v>1079.232</v>
      </c>
      <c r="I193" s="119">
        <f>I146*'Données Energie'!I$5</f>
        <v>1046.6280000000002</v>
      </c>
      <c r="J193" s="119">
        <f>J146*'Données Energie'!J$5</f>
        <v>1039.896</v>
      </c>
      <c r="K193" s="119">
        <f>K146*'Données Energie'!K$5</f>
        <v>983.40000000000009</v>
      </c>
      <c r="L193" s="119">
        <f>L146*'Données Energie'!L$5</f>
        <v>911.72400000000005</v>
      </c>
      <c r="M193" s="119">
        <f>M146*'Données Energie'!M$5</f>
        <v>952.24800000000005</v>
      </c>
      <c r="N193" s="119">
        <f>N146*'Données Energie'!N$5</f>
        <v>835.82400000000007</v>
      </c>
      <c r="O193" s="119">
        <f>O146*'Données Energie'!O$5</f>
        <v>899.44800000000009</v>
      </c>
      <c r="P193" s="119">
        <f>P146*'Données Energie'!P$5</f>
        <v>939.048</v>
      </c>
      <c r="Q193" s="119">
        <f>Q146*'Données Energie'!Q$5</f>
        <v>907.23599999999999</v>
      </c>
      <c r="R193" s="119">
        <f>R146*'Données Energie'!R$5</f>
        <v>763.09199999999998</v>
      </c>
    </row>
    <row r="194" spans="2:18" ht="16.05" hidden="1" customHeight="1" outlineLevel="1">
      <c r="B194" s="660"/>
      <c r="C194" s="635"/>
      <c r="D194" s="118" t="s">
        <v>74</v>
      </c>
      <c r="E194" s="118">
        <v>607</v>
      </c>
      <c r="F194" s="118" t="s">
        <v>80</v>
      </c>
      <c r="G194" s="119">
        <f>G147*'Données Energie'!G$5</f>
        <v>1374.1200000000001</v>
      </c>
      <c r="H194" s="119">
        <f>H147*'Données Energie'!H$5</f>
        <v>1354.848</v>
      </c>
      <c r="I194" s="119">
        <f>I147*'Données Energie'!I$5</f>
        <v>1055.7360000000001</v>
      </c>
      <c r="J194" s="119">
        <f>J147*'Données Energie'!J$5</f>
        <v>1173.2160000000001</v>
      </c>
      <c r="K194" s="119">
        <f>K147*'Données Energie'!K$5</f>
        <v>1272.6120000000001</v>
      </c>
      <c r="L194" s="119">
        <f>L147*'Données Energie'!L$5</f>
        <v>1359.336</v>
      </c>
      <c r="M194" s="119">
        <f>M147*'Données Energie'!M$5</f>
        <v>1303.7640000000001</v>
      </c>
      <c r="N194" s="119">
        <f>N147*'Données Energie'!N$5</f>
        <v>1410.1560000000002</v>
      </c>
      <c r="O194" s="119">
        <f>O147*'Données Energie'!O$5</f>
        <v>1461.5040000000001</v>
      </c>
      <c r="P194" s="119">
        <f>P147*'Données Energie'!P$5</f>
        <v>1323.5640000000001</v>
      </c>
      <c r="Q194" s="119">
        <f>Q147*'Données Energie'!Q$5</f>
        <v>1275.6480000000001</v>
      </c>
      <c r="R194" s="119">
        <f>R147*'Données Energie'!R$5</f>
        <v>1156.3200000000002</v>
      </c>
    </row>
    <row r="195" spans="2:18" ht="16.05" hidden="1" customHeight="1" outlineLevel="1">
      <c r="B195" s="660"/>
      <c r="C195" s="635"/>
      <c r="D195" s="118" t="s">
        <v>74</v>
      </c>
      <c r="E195" s="118" t="s">
        <v>81</v>
      </c>
      <c r="F195" s="118" t="s">
        <v>82</v>
      </c>
      <c r="G195" s="119">
        <f>G148*'Données Energie'!G$5</f>
        <v>2431.1759999999999</v>
      </c>
      <c r="H195" s="119">
        <f>H148*'Données Energie'!H$5</f>
        <v>2412.96</v>
      </c>
      <c r="I195" s="119">
        <f>I148*'Données Energie'!I$5</f>
        <v>2185.5239999999999</v>
      </c>
      <c r="J195" s="119">
        <f>J148*'Données Energie'!J$5</f>
        <v>1889.1840000000002</v>
      </c>
      <c r="K195" s="119">
        <f>K148*'Données Energie'!K$5</f>
        <v>2155.0320000000002</v>
      </c>
      <c r="L195" s="119">
        <f>L148*'Données Energie'!L$5</f>
        <v>1943.8320000000001</v>
      </c>
      <c r="M195" s="119">
        <f>M148*'Données Energie'!M$5</f>
        <v>2223.54</v>
      </c>
      <c r="N195" s="119">
        <f>N148*'Données Energie'!N$5</f>
        <v>1861.7280000000001</v>
      </c>
      <c r="O195" s="119">
        <f>O148*'Données Energie'!O$5</f>
        <v>2060.9160000000002</v>
      </c>
      <c r="P195" s="119">
        <f>P148*'Données Energie'!P$5</f>
        <v>2198.1959999999999</v>
      </c>
      <c r="Q195" s="119">
        <f>Q148*'Données Energie'!Q$5</f>
        <v>1904.2320000000002</v>
      </c>
      <c r="R195" s="119">
        <f>R148*'Données Energie'!R$5</f>
        <v>1923.24</v>
      </c>
    </row>
    <row r="196" spans="2:18" ht="16.05" hidden="1" customHeight="1" outlineLevel="1">
      <c r="B196" s="660"/>
      <c r="C196" s="635"/>
      <c r="D196" s="118" t="s">
        <v>74</v>
      </c>
      <c r="E196" s="118">
        <v>603</v>
      </c>
      <c r="F196" s="118" t="s">
        <v>83</v>
      </c>
      <c r="G196" s="119">
        <f>G149*'Données Energie'!G$5</f>
        <v>1248.588</v>
      </c>
      <c r="H196" s="119">
        <f>H149*'Données Energie'!H$5</f>
        <v>1146.5520000000001</v>
      </c>
      <c r="I196" s="119">
        <f>I149*'Données Energie'!I$5</f>
        <v>1384.68</v>
      </c>
      <c r="J196" s="119">
        <f>J149*'Données Energie'!J$5</f>
        <v>1045.9680000000001</v>
      </c>
      <c r="K196" s="119">
        <f>K149*'Données Energie'!K$5</f>
        <v>1210.44</v>
      </c>
      <c r="L196" s="119">
        <f>L149*'Données Energie'!L$5</f>
        <v>1934.1960000000001</v>
      </c>
      <c r="M196" s="119">
        <f>M149*'Données Energie'!M$5</f>
        <v>1082.268</v>
      </c>
      <c r="N196" s="119">
        <f>N149*'Données Energie'!N$5</f>
        <v>1491.336</v>
      </c>
      <c r="O196" s="119">
        <f>O149*'Données Energie'!O$5</f>
        <v>1194.204</v>
      </c>
      <c r="P196" s="119">
        <f>P149*'Données Energie'!P$5</f>
        <v>1077.6480000000001</v>
      </c>
      <c r="Q196" s="119">
        <f>Q149*'Données Energie'!Q$5</f>
        <v>950.13600000000008</v>
      </c>
      <c r="R196" s="119">
        <f>R149*'Données Energie'!R$5</f>
        <v>1058.376</v>
      </c>
    </row>
    <row r="197" spans="2:18" ht="16.05" hidden="1" customHeight="1" outlineLevel="1">
      <c r="B197" s="660"/>
      <c r="C197" s="635"/>
      <c r="D197" s="118" t="s">
        <v>74</v>
      </c>
      <c r="E197" s="118">
        <v>606</v>
      </c>
      <c r="F197" s="118" t="s">
        <v>84</v>
      </c>
      <c r="G197" s="119">
        <f>G150*'Données Energie'!G$5</f>
        <v>1387.1880000000001</v>
      </c>
      <c r="H197" s="119">
        <f>H150*'Données Energie'!H$5</f>
        <v>1226.412</v>
      </c>
      <c r="I197" s="119">
        <f>I150*'Données Energie'!I$5</f>
        <v>1506.912</v>
      </c>
      <c r="J197" s="119">
        <f>J150*'Données Energie'!J$5</f>
        <v>1794.2760000000001</v>
      </c>
      <c r="K197" s="119">
        <f>K150*'Données Energie'!K$5</f>
        <v>1672.308</v>
      </c>
      <c r="L197" s="119">
        <f>L150*'Données Energie'!L$5</f>
        <v>927.56400000000008</v>
      </c>
      <c r="M197" s="119">
        <f>M150*'Données Energie'!M$5</f>
        <v>1018.248</v>
      </c>
      <c r="N197" s="119">
        <f>N150*'Données Energie'!N$5</f>
        <v>1333.068</v>
      </c>
      <c r="O197" s="119">
        <f>O150*'Données Energie'!O$5</f>
        <v>1387.7160000000001</v>
      </c>
      <c r="P197" s="119">
        <f>P150*'Données Energie'!P$5</f>
        <v>1752.96</v>
      </c>
      <c r="Q197" s="119">
        <f>Q150*'Données Energie'!Q$5</f>
        <v>1252.68</v>
      </c>
      <c r="R197" s="119">
        <f>R150*'Données Energie'!R$5</f>
        <v>1069.7280000000001</v>
      </c>
    </row>
    <row r="198" spans="2:18" ht="16.05" hidden="1" customHeight="1" outlineLevel="1">
      <c r="B198" s="660"/>
      <c r="C198" s="635"/>
      <c r="D198" s="118" t="s">
        <v>74</v>
      </c>
      <c r="E198" s="118">
        <v>707</v>
      </c>
      <c r="F198" s="118" t="s">
        <v>85</v>
      </c>
      <c r="G198" s="119">
        <f>G151*'Données Energie'!G$5</f>
        <v>487.87200000000001</v>
      </c>
      <c r="H198" s="119">
        <f>H151*'Données Energie'!H$5</f>
        <v>848.76</v>
      </c>
      <c r="I198" s="119">
        <f>I151*'Données Energie'!I$5</f>
        <v>1005.048</v>
      </c>
      <c r="J198" s="119">
        <f>J151*'Données Energie'!J$5</f>
        <v>872.91600000000005</v>
      </c>
      <c r="K198" s="119">
        <f>K151*'Données Energie'!K$5</f>
        <v>900.24</v>
      </c>
      <c r="L198" s="119">
        <f>L151*'Données Energie'!L$5</f>
        <v>806.12400000000002</v>
      </c>
      <c r="M198" s="119">
        <f>M151*'Données Energie'!M$5</f>
        <v>748.83600000000001</v>
      </c>
      <c r="N198" s="119">
        <f>N151*'Données Energie'!N$5</f>
        <v>813.64800000000002</v>
      </c>
      <c r="O198" s="119">
        <f>O151*'Données Energie'!O$5</f>
        <v>743.952</v>
      </c>
      <c r="P198" s="119">
        <f>P151*'Données Energie'!P$5</f>
        <v>706.06799999999998</v>
      </c>
      <c r="Q198" s="119">
        <f>Q151*'Données Energie'!Q$5</f>
        <v>967.03200000000004</v>
      </c>
      <c r="R198" s="119">
        <f>R151*'Données Energie'!R$5</f>
        <v>636.76800000000003</v>
      </c>
    </row>
    <row r="199" spans="2:18" ht="16.05" customHeight="1" collapsed="1">
      <c r="B199" s="660"/>
      <c r="C199" s="635"/>
      <c r="D199" s="133" t="s">
        <v>74</v>
      </c>
      <c r="E199" s="133"/>
      <c r="F199" s="133" t="s">
        <v>36</v>
      </c>
      <c r="G199" s="136">
        <f t="shared" ref="G199:R199" si="23">SUM(G189:G198)</f>
        <v>11839.608</v>
      </c>
      <c r="H199" s="136">
        <f t="shared" si="23"/>
        <v>11931.084000000001</v>
      </c>
      <c r="I199" s="136">
        <f t="shared" si="23"/>
        <v>13063.380000000003</v>
      </c>
      <c r="J199" s="136">
        <f t="shared" si="23"/>
        <v>12812.184000000001</v>
      </c>
      <c r="K199" s="136">
        <f t="shared" si="23"/>
        <v>12729.42</v>
      </c>
      <c r="L199" s="136">
        <f t="shared" si="23"/>
        <v>12635.766</v>
      </c>
      <c r="M199" s="136">
        <f t="shared" si="23"/>
        <v>11988.966</v>
      </c>
      <c r="N199" s="136">
        <f t="shared" si="23"/>
        <v>12472.877999999999</v>
      </c>
      <c r="O199" s="136">
        <f t="shared" si="23"/>
        <v>13086.48</v>
      </c>
      <c r="P199" s="136">
        <f t="shared" si="23"/>
        <v>13430.207999999999</v>
      </c>
      <c r="Q199" s="136">
        <f t="shared" si="23"/>
        <v>12500.796</v>
      </c>
      <c r="R199" s="136">
        <f t="shared" si="23"/>
        <v>11639.495999999999</v>
      </c>
    </row>
    <row r="200" spans="2:18" ht="16.05" hidden="1" customHeight="1" outlineLevel="1">
      <c r="B200" s="660"/>
      <c r="C200" s="635"/>
      <c r="D200" s="121" t="s">
        <v>90</v>
      </c>
      <c r="E200" s="121">
        <v>301</v>
      </c>
      <c r="F200" s="121" t="s">
        <v>92</v>
      </c>
      <c r="G200" s="122">
        <f>G153*'Données Energie'!G$5</f>
        <v>0</v>
      </c>
      <c r="H200" s="122">
        <f>H153*'Données Energie'!H$5</f>
        <v>4.4880000000000004</v>
      </c>
      <c r="I200" s="122">
        <f>I153*'Données Energie'!I$5</f>
        <v>8.3160000000000007</v>
      </c>
      <c r="J200" s="122">
        <f>J153*'Données Energie'!J$5</f>
        <v>5.4119999999999999</v>
      </c>
      <c r="K200" s="122">
        <f>K153*'Données Energie'!K$5</f>
        <v>5.0819999999999999</v>
      </c>
      <c r="L200" s="122">
        <f>L153*'Données Energie'!L$5</f>
        <v>5.94</v>
      </c>
      <c r="M200" s="122">
        <f>M153*'Données Energie'!M$5</f>
        <v>5.61</v>
      </c>
      <c r="N200" s="122">
        <f>N153*'Données Energie'!N$5</f>
        <v>6.0720000000000001</v>
      </c>
      <c r="O200" s="122">
        <f>O153*'Données Energie'!O$5</f>
        <v>4.62</v>
      </c>
      <c r="P200" s="122">
        <f>P153*'Données Energie'!P$5</f>
        <v>3.4320000000000004</v>
      </c>
      <c r="Q200" s="122">
        <f>Q153*'Données Energie'!Q$5</f>
        <v>5.28</v>
      </c>
      <c r="R200" s="122">
        <f>R153*'Données Energie'!R$5</f>
        <v>0</v>
      </c>
    </row>
    <row r="201" spans="2:18" ht="16.05" hidden="1" customHeight="1" outlineLevel="1">
      <c r="B201" s="660"/>
      <c r="C201" s="635"/>
      <c r="D201" s="121" t="s">
        <v>90</v>
      </c>
      <c r="E201" s="121">
        <v>402</v>
      </c>
      <c r="F201" s="121" t="s">
        <v>93</v>
      </c>
      <c r="G201" s="122">
        <f>G154*'Données Energie'!G$5</f>
        <v>0</v>
      </c>
      <c r="H201" s="122">
        <f>H154*'Données Energie'!H$5</f>
        <v>5.28</v>
      </c>
      <c r="I201" s="122">
        <f>I154*'Données Energie'!I$5</f>
        <v>5.8079999999999998</v>
      </c>
      <c r="J201" s="122">
        <f>J154*'Données Energie'!J$5</f>
        <v>6.8640000000000008</v>
      </c>
      <c r="K201" s="122">
        <f>K154*'Données Energie'!K$5</f>
        <v>5.8079999999999998</v>
      </c>
      <c r="L201" s="122">
        <f>L154*'Données Energie'!L$5</f>
        <v>14.124000000000001</v>
      </c>
      <c r="M201" s="122">
        <f>M154*'Données Energie'!M$5</f>
        <v>6.3360000000000003</v>
      </c>
      <c r="N201" s="122">
        <f>N154*'Données Energie'!N$5</f>
        <v>4.0920000000000005</v>
      </c>
      <c r="O201" s="122">
        <f>O154*'Données Energie'!O$5</f>
        <v>5.4119999999999999</v>
      </c>
      <c r="P201" s="122">
        <f>P154*'Données Energie'!P$5</f>
        <v>13.068000000000001</v>
      </c>
      <c r="Q201" s="122">
        <f>Q154*'Données Energie'!Q$5</f>
        <v>16.103999999999999</v>
      </c>
      <c r="R201" s="122">
        <f>R154*'Données Energie'!R$5</f>
        <v>0</v>
      </c>
    </row>
    <row r="202" spans="2:18" ht="16.05" hidden="1" customHeight="1" outlineLevel="1">
      <c r="B202" s="660"/>
      <c r="C202" s="635"/>
      <c r="D202" s="121" t="s">
        <v>90</v>
      </c>
      <c r="E202" s="121">
        <v>503</v>
      </c>
      <c r="F202" s="121" t="s">
        <v>94</v>
      </c>
      <c r="G202" s="122">
        <f>G155*'Données Energie'!G$5</f>
        <v>0</v>
      </c>
      <c r="H202" s="122">
        <f>H155*'Données Energie'!H$5</f>
        <v>0</v>
      </c>
      <c r="I202" s="122">
        <f>I155*'Données Energie'!I$5</f>
        <v>2.64</v>
      </c>
      <c r="J202" s="122">
        <f>J155*'Données Energie'!J$5</f>
        <v>6.6000000000000005</v>
      </c>
      <c r="K202" s="122">
        <f>K155*'Données Energie'!K$5</f>
        <v>6.1379999999999999</v>
      </c>
      <c r="L202" s="122">
        <f>L155*'Données Energie'!L$5</f>
        <v>12.540000000000001</v>
      </c>
      <c r="M202" s="122">
        <f>M155*'Données Energie'!M$5</f>
        <v>2.3760000000000003</v>
      </c>
      <c r="N202" s="122">
        <f>N155*'Données Energie'!N$5</f>
        <v>5.1480000000000006</v>
      </c>
      <c r="O202" s="122">
        <f>O155*'Données Energie'!O$5</f>
        <v>5.28</v>
      </c>
      <c r="P202" s="122">
        <f>P155*'Données Energie'!P$5</f>
        <v>5.4119999999999999</v>
      </c>
      <c r="Q202" s="122">
        <f>Q155*'Données Energie'!Q$5</f>
        <v>3.5640000000000001</v>
      </c>
      <c r="R202" s="122">
        <f>R155*'Données Energie'!R$5</f>
        <v>0</v>
      </c>
    </row>
    <row r="203" spans="2:18" ht="16.05" customHeight="1" collapsed="1">
      <c r="B203" s="660"/>
      <c r="C203" s="635"/>
      <c r="D203" s="138" t="s">
        <v>90</v>
      </c>
      <c r="E203" s="138"/>
      <c r="F203" s="138" t="s">
        <v>95</v>
      </c>
      <c r="G203" s="139">
        <f t="shared" ref="G203:Q203" si="24">SUM(G200:G202)</f>
        <v>0</v>
      </c>
      <c r="H203" s="139">
        <f t="shared" si="24"/>
        <v>9.7680000000000007</v>
      </c>
      <c r="I203" s="139">
        <f t="shared" si="24"/>
        <v>16.763999999999999</v>
      </c>
      <c r="J203" s="139">
        <f t="shared" si="24"/>
        <v>18.876000000000001</v>
      </c>
      <c r="K203" s="139">
        <f t="shared" si="24"/>
        <v>17.027999999999999</v>
      </c>
      <c r="L203" s="139">
        <f t="shared" si="24"/>
        <v>32.603999999999999</v>
      </c>
      <c r="M203" s="139">
        <f t="shared" si="24"/>
        <v>14.322000000000003</v>
      </c>
      <c r="N203" s="139">
        <f t="shared" si="24"/>
        <v>15.312000000000001</v>
      </c>
      <c r="O203" s="139">
        <f t="shared" si="24"/>
        <v>15.312000000000001</v>
      </c>
      <c r="P203" s="139">
        <f t="shared" si="24"/>
        <v>21.911999999999999</v>
      </c>
      <c r="Q203" s="139">
        <f t="shared" si="24"/>
        <v>24.948</v>
      </c>
      <c r="R203" s="144">
        <f>SUM(R200:R202)</f>
        <v>0</v>
      </c>
    </row>
    <row r="204" spans="2:18" ht="16.05" hidden="1" customHeight="1" outlineLevel="1">
      <c r="B204" s="660"/>
      <c r="C204" s="635"/>
      <c r="D204" s="140" t="s">
        <v>96</v>
      </c>
      <c r="E204" s="140">
        <v>106</v>
      </c>
      <c r="F204" s="140" t="s">
        <v>97</v>
      </c>
      <c r="G204" s="141">
        <f>G157*'Données Energie'!G$5</f>
        <v>242.74800000000002</v>
      </c>
      <c r="H204" s="141">
        <f>H157*'Données Energie'!H$5</f>
        <v>260.964</v>
      </c>
      <c r="I204" s="141">
        <f>I157*'Données Energie'!I$5</f>
        <v>318.91200000000003</v>
      </c>
      <c r="J204" s="141">
        <f>J157*'Données Energie'!J$5</f>
        <v>229.416</v>
      </c>
      <c r="K204" s="141">
        <f>K157*'Données Energie'!K$5</f>
        <v>187.572</v>
      </c>
      <c r="L204" s="141">
        <f>L157*'Données Energie'!L$5</f>
        <v>196.94400000000002</v>
      </c>
      <c r="M204" s="141">
        <f>M157*'Données Energie'!M$5</f>
        <v>172.12800000000001</v>
      </c>
      <c r="N204" s="141">
        <f>N157*'Données Energie'!N$5</f>
        <v>156.024</v>
      </c>
      <c r="O204" s="141">
        <f>O157*'Données Energie'!O$5</f>
        <v>110.48400000000001</v>
      </c>
      <c r="P204" s="141">
        <f>P157*'Données Energie'!P$5</f>
        <v>123.15600000000001</v>
      </c>
      <c r="Q204" s="141">
        <f>Q157*'Données Energie'!Q$5</f>
        <v>101.11200000000001</v>
      </c>
      <c r="R204" s="141">
        <f>R157*'Données Energie'!R$5</f>
        <v>84.876000000000005</v>
      </c>
    </row>
    <row r="205" spans="2:18" ht="16.05" hidden="1" customHeight="1" outlineLevel="1">
      <c r="B205" s="660"/>
      <c r="C205" s="635"/>
      <c r="D205" s="140" t="s">
        <v>96</v>
      </c>
      <c r="E205" s="140">
        <v>113</v>
      </c>
      <c r="F205" s="140" t="s">
        <v>98</v>
      </c>
      <c r="G205" s="141">
        <f>G158*'Données Energie'!G$5</f>
        <v>1439.5920000000001</v>
      </c>
      <c r="H205" s="141">
        <f>H158*'Données Energie'!H$5</f>
        <v>555.32400000000007</v>
      </c>
      <c r="I205" s="141">
        <f>I158*'Données Energie'!I$5</f>
        <v>564.03600000000006</v>
      </c>
      <c r="J205" s="141">
        <f>J158*'Données Energie'!J$5</f>
        <v>765.072</v>
      </c>
      <c r="K205" s="141">
        <f>K158*'Données Energie'!K$5</f>
        <v>231</v>
      </c>
      <c r="L205" s="141">
        <f>L158*'Données Energie'!L$5</f>
        <v>163.15200000000002</v>
      </c>
      <c r="M205" s="141">
        <f>M158*'Données Energie'!M$5</f>
        <v>245.52</v>
      </c>
      <c r="N205" s="141">
        <f>N158*'Données Energie'!N$5</f>
        <v>512.16</v>
      </c>
      <c r="O205" s="141">
        <f>O158*'Données Energie'!O$5</f>
        <v>88.835999999999999</v>
      </c>
      <c r="P205" s="141">
        <f>P158*'Données Energie'!P$5</f>
        <v>15.576000000000001</v>
      </c>
      <c r="Q205" s="141">
        <f>Q158*'Données Energie'!Q$5</f>
        <v>73.39200000000001</v>
      </c>
      <c r="R205" s="141">
        <f>R158*'Données Energie'!R$5</f>
        <v>21.516000000000002</v>
      </c>
    </row>
    <row r="206" spans="2:18" ht="16.05" hidden="1" customHeight="1" outlineLevel="1">
      <c r="B206" s="660"/>
      <c r="C206" s="635"/>
      <c r="D206" s="140" t="s">
        <v>96</v>
      </c>
      <c r="E206" s="140">
        <v>107</v>
      </c>
      <c r="F206" s="140" t="s">
        <v>99</v>
      </c>
      <c r="G206" s="141">
        <f>G159*'Données Energie'!G$5</f>
        <v>0</v>
      </c>
      <c r="H206" s="141">
        <f>H159*'Données Energie'!H$5</f>
        <v>194.70000000000002</v>
      </c>
      <c r="I206" s="141">
        <f>I159*'Données Energie'!I$5</f>
        <v>231.39600000000002</v>
      </c>
      <c r="J206" s="141">
        <f>J159*'Données Energie'!J$5</f>
        <v>269.14800000000002</v>
      </c>
      <c r="K206" s="141">
        <f>K159*'Données Energie'!K$5</f>
        <v>238.524</v>
      </c>
      <c r="L206" s="141">
        <f>L159*'Données Energie'!L$5</f>
        <v>199.32000000000002</v>
      </c>
      <c r="M206" s="141">
        <f>M159*'Données Energie'!M$5</f>
        <v>228.36</v>
      </c>
      <c r="N206" s="141">
        <f>N159*'Données Energie'!N$5</f>
        <v>238.39200000000002</v>
      </c>
      <c r="O206" s="141">
        <f>O159*'Données Energie'!O$5</f>
        <v>205.392</v>
      </c>
      <c r="P206" s="141">
        <f>P159*'Données Energie'!P$5</f>
        <v>161.964</v>
      </c>
      <c r="Q206" s="141">
        <f>Q159*'Données Energie'!Q$5</f>
        <v>181.10400000000001</v>
      </c>
      <c r="R206" s="141">
        <f>R159*'Données Energie'!R$5</f>
        <v>84.216000000000008</v>
      </c>
    </row>
    <row r="207" spans="2:18" ht="16.05" hidden="1" customHeight="1" outlineLevel="1">
      <c r="B207" s="660"/>
      <c r="C207" s="635"/>
      <c r="D207" s="140" t="s">
        <v>96</v>
      </c>
      <c r="E207" s="140">
        <v>307</v>
      </c>
      <c r="F207" s="140" t="s">
        <v>100</v>
      </c>
      <c r="G207" s="141">
        <f>G160*'Données Energie'!G$5</f>
        <v>84.347999999999999</v>
      </c>
      <c r="H207" s="141">
        <f>H160*'Données Energie'!H$5</f>
        <v>133.452</v>
      </c>
      <c r="I207" s="141">
        <f>I160*'Données Energie'!I$5</f>
        <v>137.28</v>
      </c>
      <c r="J207" s="141">
        <f>J160*'Données Energie'!J$5</f>
        <v>62.832000000000001</v>
      </c>
      <c r="K207" s="141">
        <f>K160*'Données Energie'!K$5</f>
        <v>73.128</v>
      </c>
      <c r="L207" s="141">
        <f>L160*'Données Energie'!L$5</f>
        <v>76.032000000000011</v>
      </c>
      <c r="M207" s="141">
        <f>M160*'Données Energie'!M$5</f>
        <v>101.90400000000001</v>
      </c>
      <c r="N207" s="141">
        <f>N160*'Données Energie'!N$5</f>
        <v>128.70000000000002</v>
      </c>
      <c r="O207" s="141">
        <f>O160*'Données Energie'!O$5</f>
        <v>96.228000000000009</v>
      </c>
      <c r="P207" s="141">
        <f>P160*'Données Energie'!P$5</f>
        <v>113.38800000000001</v>
      </c>
      <c r="Q207" s="141">
        <f>Q160*'Données Energie'!Q$5</f>
        <v>163.28400000000002</v>
      </c>
      <c r="R207" s="141">
        <f>R160*'Données Energie'!R$5</f>
        <v>104.41200000000001</v>
      </c>
    </row>
    <row r="208" spans="2:18" ht="16.05" hidden="1" customHeight="1" outlineLevel="1">
      <c r="B208" s="660"/>
      <c r="C208" s="635"/>
      <c r="D208" s="140" t="s">
        <v>96</v>
      </c>
      <c r="E208" s="140">
        <v>304</v>
      </c>
      <c r="F208" s="140" t="s">
        <v>101</v>
      </c>
      <c r="G208" s="141">
        <f>G161*'Données Energie'!G$5</f>
        <v>450.78000000000003</v>
      </c>
      <c r="H208" s="141">
        <f>H161*'Données Energie'!H$5</f>
        <v>585.55200000000002</v>
      </c>
      <c r="I208" s="141">
        <f>I161*'Données Energie'!I$5</f>
        <v>593.07600000000002</v>
      </c>
      <c r="J208" s="141">
        <f>J161*'Données Energie'!J$5</f>
        <v>449.85599999999999</v>
      </c>
      <c r="K208" s="141">
        <f>K161*'Données Energie'!K$5</f>
        <v>194.83200000000002</v>
      </c>
      <c r="L208" s="141">
        <f>L161*'Données Energie'!L$5</f>
        <v>195.096</v>
      </c>
      <c r="M208" s="141">
        <f>M161*'Données Energie'!M$5</f>
        <v>122.364</v>
      </c>
      <c r="N208" s="141">
        <f>N161*'Données Energie'!N$5</f>
        <v>183.61199999999999</v>
      </c>
      <c r="O208" s="141">
        <f>O161*'Données Energie'!O$5</f>
        <v>112.464</v>
      </c>
      <c r="P208" s="141">
        <f>P161*'Données Energie'!P$5</f>
        <v>133.05600000000001</v>
      </c>
      <c r="Q208" s="141">
        <f>Q161*'Données Energie'!Q$5</f>
        <v>22.704000000000001</v>
      </c>
      <c r="R208" s="141">
        <f>R161*'Données Energie'!R$5</f>
        <v>66.528000000000006</v>
      </c>
    </row>
    <row r="209" spans="2:18" ht="16.05" hidden="1" customHeight="1" outlineLevel="1">
      <c r="B209" s="660"/>
      <c r="C209" s="635"/>
      <c r="D209" s="140" t="s">
        <v>96</v>
      </c>
      <c r="E209" s="140">
        <v>306</v>
      </c>
      <c r="F209" s="140" t="s">
        <v>102</v>
      </c>
      <c r="G209" s="141">
        <f>G162*'Données Energie'!G$5</f>
        <v>100.188</v>
      </c>
      <c r="H209" s="141">
        <f>H162*'Données Energie'!H$5</f>
        <v>19.8</v>
      </c>
      <c r="I209" s="141">
        <f>I162*'Données Energie'!I$5</f>
        <v>16.5</v>
      </c>
      <c r="J209" s="141">
        <f>J162*'Données Energie'!J$5</f>
        <v>19.14</v>
      </c>
      <c r="K209" s="141">
        <f>K162*'Données Energie'!K$5</f>
        <v>15.312000000000001</v>
      </c>
      <c r="L209" s="141">
        <f>L162*'Données Energie'!L$5</f>
        <v>22.704000000000001</v>
      </c>
      <c r="M209" s="141">
        <f>M162*'Données Energie'!M$5</f>
        <v>48.444000000000003</v>
      </c>
      <c r="N209" s="141">
        <f>N162*'Données Energie'!N$5</f>
        <v>42.504000000000005</v>
      </c>
      <c r="O209" s="141">
        <f>O162*'Données Energie'!O$5</f>
        <v>43.692</v>
      </c>
      <c r="P209" s="141">
        <f>P162*'Données Energie'!P$5</f>
        <v>31.812000000000001</v>
      </c>
      <c r="Q209" s="141">
        <f>Q162*'Données Energie'!Q$5</f>
        <v>50.160000000000004</v>
      </c>
      <c r="R209" s="141">
        <f>R162*'Données Energie'!R$5</f>
        <v>65.472000000000008</v>
      </c>
    </row>
    <row r="210" spans="2:18" ht="16.05" hidden="1" customHeight="1" outlineLevel="1">
      <c r="B210" s="660"/>
      <c r="C210" s="635"/>
      <c r="D210" s="140" t="s">
        <v>96</v>
      </c>
      <c r="E210" s="140" t="s">
        <v>134</v>
      </c>
      <c r="F210" s="145" t="s">
        <v>135</v>
      </c>
      <c r="G210" s="141">
        <f>G163*'Données Energie'!G$5</f>
        <v>2726.46</v>
      </c>
      <c r="H210" s="141">
        <f>H163*'Données Energie'!H$5</f>
        <v>3262.248</v>
      </c>
      <c r="I210" s="141">
        <f>I163*'Données Energie'!I$5</f>
        <v>2273.4360000000001</v>
      </c>
      <c r="J210" s="141">
        <f>J163*'Données Energie'!J$5</f>
        <v>2575.4520000000002</v>
      </c>
      <c r="K210" s="141">
        <f>K163*'Données Energie'!K$5</f>
        <v>2380.3560000000002</v>
      </c>
      <c r="L210" s="141">
        <f>L163*'Données Energie'!L$5</f>
        <v>3366.1320000000001</v>
      </c>
      <c r="M210" s="141">
        <f>M163*'Données Energie'!M$5</f>
        <v>2301.75</v>
      </c>
      <c r="N210" s="141">
        <f>N163*'Données Energie'!N$5</f>
        <v>1755.732</v>
      </c>
      <c r="O210" s="141">
        <f>O163*'Données Energie'!O$5</f>
        <v>1678.9080000000001</v>
      </c>
      <c r="P210" s="141">
        <f>P163*'Données Energie'!P$5</f>
        <v>1278.684</v>
      </c>
      <c r="Q210" s="141">
        <f>Q163*'Données Energie'!Q$5</f>
        <v>1111.308</v>
      </c>
      <c r="R210" s="141">
        <f>R163*'Données Energie'!R$5</f>
        <v>881.76</v>
      </c>
    </row>
    <row r="211" spans="2:18" ht="16.05" hidden="1" customHeight="1" outlineLevel="1">
      <c r="B211" s="660"/>
      <c r="C211" s="635"/>
      <c r="D211" s="140" t="s">
        <v>96</v>
      </c>
      <c r="E211" s="140">
        <v>401</v>
      </c>
      <c r="F211" s="140" t="s">
        <v>105</v>
      </c>
      <c r="G211" s="141">
        <f>G164*'Données Energie'!G$5</f>
        <v>198.792</v>
      </c>
      <c r="H211" s="141">
        <f>H164*'Données Energie'!H$5</f>
        <v>187.17600000000002</v>
      </c>
      <c r="I211" s="141">
        <f>I164*'Données Energie'!I$5</f>
        <v>161.56800000000001</v>
      </c>
      <c r="J211" s="141">
        <f>J164*'Données Energie'!J$5</f>
        <v>169.22400000000002</v>
      </c>
      <c r="K211" s="141">
        <f>K164*'Données Energie'!K$5</f>
        <v>210.14400000000001</v>
      </c>
      <c r="L211" s="141">
        <f>L164*'Données Energie'!L$5</f>
        <v>186.38400000000001</v>
      </c>
      <c r="M211" s="141">
        <f>M164*'Données Energie'!M$5</f>
        <v>254.76000000000002</v>
      </c>
      <c r="N211" s="141">
        <f>N164*'Données Energie'!N$5</f>
        <v>271.78800000000001</v>
      </c>
      <c r="O211" s="141">
        <f>O164*'Données Energie'!O$5</f>
        <v>213.84</v>
      </c>
      <c r="P211" s="141">
        <f>P164*'Données Energie'!P$5</f>
        <v>163.15200000000002</v>
      </c>
      <c r="Q211" s="141">
        <f>Q164*'Données Energie'!Q$5</f>
        <v>104.54400000000001</v>
      </c>
      <c r="R211" s="141">
        <f>R164*'Données Energie'!R$5</f>
        <v>77.352000000000004</v>
      </c>
    </row>
    <row r="212" spans="2:18" ht="16.05" hidden="1" customHeight="1" outlineLevel="1">
      <c r="B212" s="660"/>
      <c r="C212" s="635"/>
      <c r="D212" s="140" t="s">
        <v>96</v>
      </c>
      <c r="E212" s="140">
        <v>403</v>
      </c>
      <c r="F212" s="140" t="s">
        <v>106</v>
      </c>
      <c r="G212" s="141">
        <f>G165*'Données Energie'!G$5</f>
        <v>1309.44</v>
      </c>
      <c r="H212" s="141">
        <f>H165*'Données Energie'!H$5</f>
        <v>1663.2</v>
      </c>
      <c r="I212" s="141">
        <f>I165*'Données Energie'!I$5</f>
        <v>1347.9840000000002</v>
      </c>
      <c r="J212" s="141">
        <f>J165*'Données Energie'!J$5</f>
        <v>923.73599999999999</v>
      </c>
      <c r="K212" s="141">
        <f>K165*'Données Energie'!K$5</f>
        <v>1192.2240000000002</v>
      </c>
      <c r="L212" s="141">
        <f>L165*'Données Energie'!L$5</f>
        <v>1125.3</v>
      </c>
      <c r="M212" s="141">
        <f>M165*'Données Energie'!M$5</f>
        <v>967.29600000000005</v>
      </c>
      <c r="N212" s="141">
        <f>N165*'Données Energie'!N$5</f>
        <v>893.24400000000003</v>
      </c>
      <c r="O212" s="141">
        <f>O165*'Données Energie'!O$5</f>
        <v>712.93200000000002</v>
      </c>
      <c r="P212" s="141">
        <f>P165*'Données Energie'!P$5</f>
        <v>519.55200000000002</v>
      </c>
      <c r="Q212" s="141">
        <f>Q165*'Données Energie'!Q$5</f>
        <v>473.48400000000004</v>
      </c>
      <c r="R212" s="141">
        <f>R165*'Données Energie'!R$5</f>
        <v>-66</v>
      </c>
    </row>
    <row r="213" spans="2:18" ht="16.05" hidden="1" customHeight="1" outlineLevel="1">
      <c r="B213" s="660"/>
      <c r="C213" s="635"/>
      <c r="D213" s="140" t="s">
        <v>96</v>
      </c>
      <c r="E213" s="140">
        <v>404</v>
      </c>
      <c r="F213" s="140" t="s">
        <v>107</v>
      </c>
      <c r="G213" s="141">
        <f>G166*'Données Energie'!G$5</f>
        <v>231.26400000000001</v>
      </c>
      <c r="H213" s="141">
        <f>H166*'Données Energie'!H$5</f>
        <v>178.99200000000002</v>
      </c>
      <c r="I213" s="141">
        <f>I166*'Données Energie'!I$5</f>
        <v>155.892</v>
      </c>
      <c r="J213" s="141">
        <f>J166*'Données Energie'!J$5</f>
        <v>192.32400000000001</v>
      </c>
      <c r="K213" s="141">
        <f>K166*'Données Energie'!K$5</f>
        <v>172.392</v>
      </c>
      <c r="L213" s="141">
        <f>L166*'Données Energie'!L$5</f>
        <v>185.196</v>
      </c>
      <c r="M213" s="141">
        <f>M166*'Données Energie'!M$5</f>
        <v>221.364</v>
      </c>
      <c r="N213" s="141">
        <f>N166*'Données Energie'!N$5</f>
        <v>230.60400000000001</v>
      </c>
      <c r="O213" s="141">
        <f>O166*'Données Energie'!O$5</f>
        <v>260.83199999999999</v>
      </c>
      <c r="P213" s="141">
        <f>P166*'Données Energie'!P$5</f>
        <v>205.92000000000002</v>
      </c>
      <c r="Q213" s="141">
        <f>Q166*'Données Energie'!Q$5</f>
        <v>208.82400000000001</v>
      </c>
      <c r="R213" s="141">
        <f>R166*'Données Energie'!R$5</f>
        <v>146.52000000000001</v>
      </c>
    </row>
    <row r="214" spans="2:18" ht="16.05" hidden="1" customHeight="1" outlineLevel="1">
      <c r="B214" s="660"/>
      <c r="C214" s="635"/>
      <c r="D214" s="140" t="s">
        <v>96</v>
      </c>
      <c r="E214" s="140">
        <v>407</v>
      </c>
      <c r="F214" s="140" t="s">
        <v>108</v>
      </c>
      <c r="G214" s="141">
        <f>G167*'Données Energie'!G$5</f>
        <v>87.78</v>
      </c>
      <c r="H214" s="141">
        <f>H167*'Données Energie'!H$5</f>
        <v>84.876000000000005</v>
      </c>
      <c r="I214" s="141">
        <f>I167*'Données Energie'!I$5</f>
        <v>109.03200000000001</v>
      </c>
      <c r="J214" s="141">
        <f>J167*'Données Energie'!J$5</f>
        <v>77.88000000000001</v>
      </c>
      <c r="K214" s="141">
        <f>K167*'Données Energie'!K$5</f>
        <v>66.792000000000002</v>
      </c>
      <c r="L214" s="141">
        <f>L167*'Données Energie'!L$5</f>
        <v>76.032000000000011</v>
      </c>
      <c r="M214" s="141">
        <f>M167*'Données Energie'!M$5</f>
        <v>43.956000000000003</v>
      </c>
      <c r="N214" s="141">
        <f>N167*'Données Energie'!N$5</f>
        <v>24.288</v>
      </c>
      <c r="O214" s="141">
        <f>O167*'Données Energie'!O$5</f>
        <v>27.456000000000003</v>
      </c>
      <c r="P214" s="141">
        <f>P167*'Données Energie'!P$5</f>
        <v>24.948</v>
      </c>
      <c r="Q214" s="141">
        <f>Q167*'Données Energie'!Q$5</f>
        <v>22.308</v>
      </c>
      <c r="R214" s="141">
        <f>R167*'Données Energie'!R$5</f>
        <v>10.428000000000001</v>
      </c>
    </row>
    <row r="215" spans="2:18" ht="16.05" hidden="1" customHeight="1" outlineLevel="1">
      <c r="B215" s="660"/>
      <c r="C215" s="635"/>
      <c r="D215" s="140" t="s">
        <v>96</v>
      </c>
      <c r="E215" s="140">
        <v>601</v>
      </c>
      <c r="F215" s="140" t="s">
        <v>109</v>
      </c>
      <c r="G215" s="141">
        <f>G168*'Données Energie'!G$5</f>
        <v>90.156000000000006</v>
      </c>
      <c r="H215" s="141">
        <f>H168*'Données Energie'!H$5</f>
        <v>113.652</v>
      </c>
      <c r="I215" s="141">
        <f>I168*'Données Energie'!I$5</f>
        <v>113.12400000000001</v>
      </c>
      <c r="J215" s="141">
        <f>J168*'Données Energie'!J$5</f>
        <v>104.28</v>
      </c>
      <c r="K215" s="141">
        <f>K168*'Données Energie'!K$5</f>
        <v>90.816000000000003</v>
      </c>
      <c r="L215" s="141">
        <f>L168*'Données Energie'!L$5</f>
        <v>97.284000000000006</v>
      </c>
      <c r="M215" s="141">
        <f>M168*'Données Energie'!M$5</f>
        <v>92.664000000000001</v>
      </c>
      <c r="N215" s="141">
        <f>N168*'Données Energie'!N$5</f>
        <v>85.668000000000006</v>
      </c>
      <c r="O215" s="141">
        <f>O168*'Données Energie'!O$5</f>
        <v>129.756</v>
      </c>
      <c r="P215" s="141">
        <f>P168*'Données Energie'!P$5</f>
        <v>117.348</v>
      </c>
      <c r="Q215" s="141">
        <f>Q168*'Données Energie'!Q$5</f>
        <v>110.88000000000001</v>
      </c>
      <c r="R215" s="141">
        <f>R168*'Données Energie'!R$5</f>
        <v>45.936</v>
      </c>
    </row>
    <row r="216" spans="2:18" ht="16.05" hidden="1" customHeight="1" outlineLevel="1">
      <c r="B216" s="660"/>
      <c r="C216" s="635"/>
      <c r="D216" s="140" t="s">
        <v>96</v>
      </c>
      <c r="E216" s="140">
        <v>405</v>
      </c>
      <c r="F216" s="140" t="s">
        <v>110</v>
      </c>
      <c r="G216" s="141">
        <f>G169*'Données Energie'!G$5</f>
        <v>121.968</v>
      </c>
      <c r="H216" s="141">
        <f>H169*'Données Energie'!H$5</f>
        <v>88.572000000000003</v>
      </c>
      <c r="I216" s="141">
        <f>I169*'Données Energie'!I$5</f>
        <v>158.66400000000002</v>
      </c>
      <c r="J216" s="141">
        <f>J169*'Données Energie'!J$5</f>
        <v>161.43600000000001</v>
      </c>
      <c r="K216" s="141">
        <f>K169*'Données Energie'!K$5</f>
        <v>104.41200000000001</v>
      </c>
      <c r="L216" s="141">
        <f>L169*'Données Energie'!L$5</f>
        <v>123.816</v>
      </c>
      <c r="M216" s="141">
        <f>M169*'Données Energie'!M$5</f>
        <v>121.572</v>
      </c>
      <c r="N216" s="141">
        <f>N169*'Données Energie'!N$5</f>
        <v>129.756</v>
      </c>
      <c r="O216" s="141">
        <f>O169*'Données Energie'!O$5</f>
        <v>171.6</v>
      </c>
      <c r="P216" s="141">
        <f>P169*'Données Energie'!P$5</f>
        <v>119.19600000000001</v>
      </c>
      <c r="Q216" s="141">
        <f>Q169*'Données Energie'!Q$5</f>
        <v>107.58</v>
      </c>
      <c r="R216" s="141">
        <f>R169*'Données Energie'!R$5</f>
        <v>97.416000000000011</v>
      </c>
    </row>
    <row r="217" spans="2:18" ht="16.05" hidden="1" customHeight="1" outlineLevel="1">
      <c r="B217" s="660"/>
      <c r="C217" s="635"/>
      <c r="D217" s="140" t="s">
        <v>96</v>
      </c>
      <c r="E217" s="140">
        <v>501</v>
      </c>
      <c r="F217" s="140" t="s">
        <v>111</v>
      </c>
      <c r="G217" s="141">
        <f>G170*'Données Energie'!G$5</f>
        <v>2438.8320000000003</v>
      </c>
      <c r="H217" s="141">
        <f>H170*'Données Energie'!H$5</f>
        <v>2811.4680000000003</v>
      </c>
      <c r="I217" s="141">
        <f>I170*'Données Energie'!I$5</f>
        <v>1786.2240000000002</v>
      </c>
      <c r="J217" s="141">
        <f>J170*'Données Energie'!J$5</f>
        <v>825.92400000000009</v>
      </c>
      <c r="K217" s="141">
        <f>K170*'Données Energie'!K$5</f>
        <v>467.67600000000004</v>
      </c>
      <c r="L217" s="141">
        <f>L170*'Données Energie'!L$5</f>
        <v>472.428</v>
      </c>
      <c r="M217" s="141">
        <f>M170*'Données Energie'!M$5</f>
        <v>269.80799999999999</v>
      </c>
      <c r="N217" s="141">
        <f>N170*'Données Energie'!N$5</f>
        <v>268.88400000000001</v>
      </c>
      <c r="O217" s="141">
        <f>O170*'Données Energie'!O$5</f>
        <v>269.80799999999999</v>
      </c>
      <c r="P217" s="141">
        <f>P170*'Données Energie'!P$5</f>
        <v>391.38</v>
      </c>
      <c r="Q217" s="141">
        <f>Q170*'Données Energie'!Q$5</f>
        <v>271.65600000000001</v>
      </c>
      <c r="R217" s="141">
        <f>R170*'Données Energie'!R$5</f>
        <v>194.83200000000002</v>
      </c>
    </row>
    <row r="218" spans="2:18" ht="16.05" hidden="1" customHeight="1" outlineLevel="1">
      <c r="B218" s="660"/>
      <c r="C218" s="635"/>
      <c r="D218" s="140" t="s">
        <v>96</v>
      </c>
      <c r="E218" s="140">
        <v>502</v>
      </c>
      <c r="F218" s="140" t="s">
        <v>112</v>
      </c>
      <c r="G218" s="141">
        <f>G171*'Données Energie'!G$5</f>
        <v>1415.04</v>
      </c>
      <c r="H218" s="141">
        <f>H171*'Données Energie'!H$5</f>
        <v>559.28399999999999</v>
      </c>
      <c r="I218" s="141">
        <f>I171*'Données Energie'!I$5</f>
        <v>611.02800000000002</v>
      </c>
      <c r="J218" s="141">
        <f>J171*'Données Energie'!J$5</f>
        <v>542.52</v>
      </c>
      <c r="K218" s="141">
        <f>K171*'Données Energie'!K$5</f>
        <v>1688.5440000000001</v>
      </c>
      <c r="L218" s="141">
        <f>L171*'Données Energie'!L$5</f>
        <v>545.02800000000002</v>
      </c>
      <c r="M218" s="141">
        <f>M171*'Données Energie'!M$5</f>
        <v>1629.672</v>
      </c>
      <c r="N218" s="141">
        <f>N171*'Données Energie'!N$5</f>
        <v>698.28000000000009</v>
      </c>
      <c r="O218" s="141">
        <f>O171*'Données Energie'!O$5</f>
        <v>821.43600000000004</v>
      </c>
      <c r="P218" s="141">
        <f>P171*'Données Energie'!P$5</f>
        <v>2678.1480000000001</v>
      </c>
      <c r="Q218" s="141">
        <f>Q171*'Données Energie'!Q$5</f>
        <v>1693.8240000000001</v>
      </c>
      <c r="R218" s="141">
        <f>R171*'Données Energie'!R$5</f>
        <v>625.81200000000001</v>
      </c>
    </row>
    <row r="219" spans="2:18" ht="16.05" hidden="1" customHeight="1" outlineLevel="1">
      <c r="B219" s="660"/>
      <c r="C219" s="635"/>
      <c r="D219" s="140" t="s">
        <v>96</v>
      </c>
      <c r="E219" s="140">
        <v>504</v>
      </c>
      <c r="F219" s="140" t="s">
        <v>113</v>
      </c>
      <c r="G219" s="141">
        <f>G172*'Données Energie'!G$5</f>
        <v>126.58800000000001</v>
      </c>
      <c r="H219" s="141">
        <f>H172*'Données Energie'!H$5</f>
        <v>86.195999999999998</v>
      </c>
      <c r="I219" s="141">
        <f>I172*'Données Energie'!I$5</f>
        <v>96.492000000000004</v>
      </c>
      <c r="J219" s="141">
        <f>J172*'Données Energie'!J$5</f>
        <v>89.496000000000009</v>
      </c>
      <c r="K219" s="141">
        <f>K172*'Données Energie'!K$5</f>
        <v>138.732</v>
      </c>
      <c r="L219" s="141">
        <f>L172*'Données Energie'!L$5</f>
        <v>101.11200000000001</v>
      </c>
      <c r="M219" s="141">
        <f>M172*'Données Energie'!M$5</f>
        <v>96.492000000000004</v>
      </c>
      <c r="N219" s="141">
        <f>N172*'Données Energie'!N$5</f>
        <v>101.77200000000001</v>
      </c>
      <c r="O219" s="141">
        <f>O172*'Données Energie'!O$5</f>
        <v>105.468</v>
      </c>
      <c r="P219" s="141">
        <f>P172*'Données Energie'!P$5</f>
        <v>70.75200000000001</v>
      </c>
      <c r="Q219" s="141">
        <f>Q172*'Données Energie'!Q$5</f>
        <v>86.460000000000008</v>
      </c>
      <c r="R219" s="141">
        <f>R172*'Données Energie'!R$5</f>
        <v>62.832000000000001</v>
      </c>
    </row>
    <row r="220" spans="2:18" ht="16.05" hidden="1" customHeight="1" outlineLevel="1">
      <c r="B220" s="660"/>
      <c r="C220" s="635"/>
      <c r="D220" s="140" t="s">
        <v>96</v>
      </c>
      <c r="E220" s="140">
        <v>406</v>
      </c>
      <c r="F220" s="140" t="s">
        <v>114</v>
      </c>
      <c r="G220" s="141">
        <f>G173*'Données Energie'!G$5</f>
        <v>1269.048</v>
      </c>
      <c r="H220" s="141">
        <f>H173*'Données Energie'!H$5</f>
        <v>527.47199999999998</v>
      </c>
      <c r="I220" s="141">
        <f>I173*'Données Energie'!I$5</f>
        <v>584.76</v>
      </c>
      <c r="J220" s="141">
        <f>J173*'Données Energie'!J$5</f>
        <v>660.52800000000002</v>
      </c>
      <c r="K220" s="141">
        <f>K173*'Données Energie'!K$5</f>
        <v>498.43200000000002</v>
      </c>
      <c r="L220" s="141">
        <f>L173*'Données Energie'!L$5</f>
        <v>157.476</v>
      </c>
      <c r="M220" s="141">
        <f>M173*'Données Energie'!M$5</f>
        <v>219.78</v>
      </c>
      <c r="N220" s="141">
        <f>N173*'Données Energie'!N$5</f>
        <v>159.98400000000001</v>
      </c>
      <c r="O220" s="141">
        <f>O173*'Données Energie'!O$5</f>
        <v>553.476</v>
      </c>
      <c r="P220" s="141">
        <f>P173*'Données Energie'!P$5</f>
        <v>405.63600000000002</v>
      </c>
      <c r="Q220" s="141">
        <f>Q173*'Données Energie'!Q$5</f>
        <v>189.94800000000001</v>
      </c>
      <c r="R220" s="141">
        <f>R173*'Données Energie'!R$5</f>
        <v>160.24800000000002</v>
      </c>
    </row>
    <row r="221" spans="2:18" ht="16.05" hidden="1" customHeight="1" outlineLevel="1">
      <c r="B221" s="660"/>
      <c r="C221" s="635"/>
      <c r="D221" s="140" t="s">
        <v>96</v>
      </c>
      <c r="E221" s="140">
        <v>705</v>
      </c>
      <c r="F221" s="140" t="s">
        <v>116</v>
      </c>
      <c r="G221" s="141">
        <f>G174*'Données Energie'!G$5</f>
        <v>44.22</v>
      </c>
      <c r="H221" s="141">
        <f>H174*'Données Energie'!H$5</f>
        <v>27.060000000000002</v>
      </c>
      <c r="I221" s="141">
        <f>I174*'Données Energie'!I$5</f>
        <v>26.136000000000003</v>
      </c>
      <c r="J221" s="141">
        <f>J174*'Données Energie'!J$5</f>
        <v>32.207999999999998</v>
      </c>
      <c r="K221" s="141">
        <f>K174*'Données Energie'!K$5</f>
        <v>27.324000000000002</v>
      </c>
      <c r="L221" s="141">
        <f>L174*'Données Energie'!L$5</f>
        <v>0</v>
      </c>
      <c r="M221" s="141">
        <f>M174*'Données Energie'!M$5</f>
        <v>0</v>
      </c>
      <c r="N221" s="141">
        <f>N174*'Données Energie'!N$5</f>
        <v>0</v>
      </c>
      <c r="O221" s="141">
        <f>O174*'Données Energie'!O$5</f>
        <v>0</v>
      </c>
      <c r="P221" s="141">
        <f>P174*'Données Energie'!P$5</f>
        <v>0</v>
      </c>
      <c r="Q221" s="141">
        <f>Q174*'Données Energie'!Q$5</f>
        <v>0</v>
      </c>
      <c r="R221" s="141">
        <f>R174*'Données Energie'!R$5</f>
        <v>0</v>
      </c>
    </row>
    <row r="222" spans="2:18" ht="16.05" hidden="1" customHeight="1" outlineLevel="1">
      <c r="B222" s="660"/>
      <c r="C222" s="635"/>
      <c r="D222" s="140" t="s">
        <v>96</v>
      </c>
      <c r="E222" s="140"/>
      <c r="F222" s="140" t="s">
        <v>136</v>
      </c>
      <c r="G222" s="141">
        <f>G175*'Données Energie'!G$5</f>
        <v>0</v>
      </c>
      <c r="H222" s="141">
        <f>H175*'Données Energie'!H$5</f>
        <v>0</v>
      </c>
      <c r="I222" s="141">
        <f>I175*'Données Energie'!I$5</f>
        <v>4.8840000000000003</v>
      </c>
      <c r="J222" s="141">
        <f>J175*'Données Energie'!J$5</f>
        <v>29.304000000000002</v>
      </c>
      <c r="K222" s="141">
        <f>K175*'Données Energie'!K$5</f>
        <v>21.12</v>
      </c>
      <c r="L222" s="141">
        <f>L175*'Données Energie'!L$5</f>
        <v>23.628</v>
      </c>
      <c r="M222" s="141">
        <f>M175*'Données Energie'!M$5</f>
        <v>27.984000000000002</v>
      </c>
      <c r="N222" s="141">
        <f>N175*'Données Energie'!N$5</f>
        <v>23.364000000000001</v>
      </c>
      <c r="O222" s="141">
        <f>O175*'Données Energie'!O$5</f>
        <v>30.492000000000001</v>
      </c>
      <c r="P222" s="141">
        <f>P175*'Données Energie'!P$5</f>
        <v>39.6</v>
      </c>
      <c r="Q222" s="141">
        <f>Q175*'Données Energie'!Q$5</f>
        <v>28.512</v>
      </c>
      <c r="R222" s="141">
        <f>R175*'Données Energie'!R$5</f>
        <v>0</v>
      </c>
    </row>
    <row r="223" spans="2:18" ht="16.05" customHeight="1" collapsed="1">
      <c r="B223" s="660"/>
      <c r="C223" s="635"/>
      <c r="D223" s="140" t="s">
        <v>96</v>
      </c>
      <c r="E223" s="140"/>
      <c r="F223" s="140" t="s">
        <v>95</v>
      </c>
      <c r="G223" s="141">
        <f>SUM(G204:G222)</f>
        <v>12377.243999999999</v>
      </c>
      <c r="H223" s="141">
        <f t="shared" ref="H223:Q223" si="25">SUM(H204:H222)</f>
        <v>11339.987999999999</v>
      </c>
      <c r="I223" s="141">
        <f t="shared" si="25"/>
        <v>9290.4240000000009</v>
      </c>
      <c r="J223" s="141">
        <f t="shared" si="25"/>
        <v>8179.7759999999998</v>
      </c>
      <c r="K223" s="141">
        <f t="shared" si="25"/>
        <v>7999.3320000000003</v>
      </c>
      <c r="L223" s="141">
        <f t="shared" si="25"/>
        <v>7313.0639999999994</v>
      </c>
      <c r="M223" s="141">
        <f t="shared" si="25"/>
        <v>7165.8180000000002</v>
      </c>
      <c r="N223" s="141">
        <f t="shared" si="25"/>
        <v>5904.7559999999994</v>
      </c>
      <c r="O223" s="141">
        <f t="shared" si="25"/>
        <v>5633.0999999999985</v>
      </c>
      <c r="P223" s="141">
        <f t="shared" si="25"/>
        <v>6593.2680000000018</v>
      </c>
      <c r="Q223" s="141">
        <f t="shared" si="25"/>
        <v>5001.0840000000007</v>
      </c>
      <c r="R223" s="141">
        <f>SUM(R204:R222)</f>
        <v>2664.1559999999999</v>
      </c>
    </row>
    <row r="224" spans="2:18" ht="16.05" hidden="1" customHeight="1" outlineLevel="1">
      <c r="B224" s="660"/>
      <c r="C224" s="635"/>
      <c r="D224" s="143" t="s">
        <v>117</v>
      </c>
      <c r="E224" s="143">
        <v>300</v>
      </c>
      <c r="F224" s="143" t="s">
        <v>118</v>
      </c>
      <c r="G224" s="144">
        <f>G177*'Données Energie'!G$5</f>
        <v>3.6960000000000002</v>
      </c>
      <c r="H224" s="144">
        <f>H177*'Données Energie'!H$5</f>
        <v>63.36</v>
      </c>
      <c r="I224" s="144">
        <f>I177*'Données Energie'!I$5</f>
        <v>83.820000000000007</v>
      </c>
      <c r="J224" s="144">
        <f>J177*'Données Energie'!J$5</f>
        <v>87.384</v>
      </c>
      <c r="K224" s="144">
        <f>K177*'Données Energie'!K$5</f>
        <v>133.84800000000001</v>
      </c>
      <c r="L224" s="144">
        <f>L177*'Données Energie'!L$5</f>
        <v>157.34399999999999</v>
      </c>
      <c r="M224" s="144">
        <f>M177*'Données Energie'!M$5</f>
        <v>208.03200000000001</v>
      </c>
      <c r="N224" s="144">
        <f>N177*'Données Energie'!N$5</f>
        <v>120.25200000000001</v>
      </c>
      <c r="O224" s="144">
        <f>O177*'Données Energie'!O$5</f>
        <v>126.72</v>
      </c>
      <c r="P224" s="144">
        <f>P177*'Données Energie'!P$5</f>
        <v>148.10400000000001</v>
      </c>
      <c r="Q224" s="144">
        <f>Q177*'Données Energie'!Q$5</f>
        <v>170.54400000000001</v>
      </c>
      <c r="R224" s="144">
        <f>R177*'Données Energie'!R$5</f>
        <v>75.504000000000005</v>
      </c>
    </row>
    <row r="225" spans="2:22" ht="16.05" hidden="1" customHeight="1" outlineLevel="1">
      <c r="B225" s="660"/>
      <c r="C225" s="635"/>
      <c r="D225" s="143" t="s">
        <v>117</v>
      </c>
      <c r="E225" s="143" t="s">
        <v>137</v>
      </c>
      <c r="F225" s="143" t="s">
        <v>138</v>
      </c>
      <c r="G225" s="144">
        <f>G178*'Données Energie'!G$5</f>
        <v>101.50800000000001</v>
      </c>
      <c r="H225" s="144">
        <f>H178*'Données Energie'!H$5</f>
        <v>92.4</v>
      </c>
      <c r="I225" s="144">
        <f>I178*'Données Energie'!I$5</f>
        <v>92.532000000000011</v>
      </c>
      <c r="J225" s="144">
        <f>J178*'Données Energie'!J$5</f>
        <v>77.22</v>
      </c>
      <c r="K225" s="144">
        <f>K178*'Données Energie'!K$5</f>
        <v>83.688000000000002</v>
      </c>
      <c r="L225" s="144">
        <f>L178*'Données Energie'!L$5</f>
        <v>91.344000000000008</v>
      </c>
      <c r="M225" s="144">
        <f>M178*'Données Energie'!M$5</f>
        <v>88.968000000000004</v>
      </c>
      <c r="N225" s="144">
        <f>N178*'Données Energie'!N$5</f>
        <v>87.64800000000001</v>
      </c>
      <c r="O225" s="144">
        <f>O178*'Données Energie'!O$5</f>
        <v>102.96000000000001</v>
      </c>
      <c r="P225" s="144">
        <f>P178*'Données Energie'!P$5</f>
        <v>114.57600000000001</v>
      </c>
      <c r="Q225" s="144">
        <f>Q178*'Données Energie'!Q$5</f>
        <v>97.284000000000006</v>
      </c>
      <c r="R225" s="144">
        <f>R178*'Données Energie'!R$5</f>
        <v>93.456000000000003</v>
      </c>
    </row>
    <row r="226" spans="2:22" ht="16.05" hidden="1" customHeight="1" outlineLevel="1">
      <c r="B226" s="660"/>
      <c r="C226" s="635"/>
      <c r="D226" s="143" t="s">
        <v>117</v>
      </c>
      <c r="E226" s="143">
        <v>201</v>
      </c>
      <c r="F226" s="143" t="s">
        <v>121</v>
      </c>
      <c r="G226" s="144">
        <f>G179*'Données Energie'!G$5</f>
        <v>28.644000000000002</v>
      </c>
      <c r="H226" s="144">
        <f>H179*'Données Energie'!H$5</f>
        <v>31.284000000000002</v>
      </c>
      <c r="I226" s="144">
        <f>I179*'Données Energie'!I$5</f>
        <v>58.74</v>
      </c>
      <c r="J226" s="144">
        <f>J179*'Données Energie'!J$5</f>
        <v>30.360000000000003</v>
      </c>
      <c r="K226" s="144">
        <f>K179*'Données Energie'!K$5</f>
        <v>29.436</v>
      </c>
      <c r="L226" s="144">
        <f>L179*'Données Energie'!L$5</f>
        <v>38.676000000000002</v>
      </c>
      <c r="M226" s="144">
        <f>M179*'Données Energie'!M$5</f>
        <v>34.980000000000004</v>
      </c>
      <c r="N226" s="144">
        <f>N179*'Données Energie'!N$5</f>
        <v>31.548000000000002</v>
      </c>
      <c r="O226" s="144">
        <f>O179*'Données Energie'!O$5</f>
        <v>36.432000000000002</v>
      </c>
      <c r="P226" s="144">
        <f>P179*'Données Energie'!P$5</f>
        <v>33.396000000000001</v>
      </c>
      <c r="Q226" s="144">
        <f>Q179*'Données Energie'!Q$5</f>
        <v>31.020000000000003</v>
      </c>
      <c r="R226" s="144">
        <f>R179*'Données Energie'!R$5</f>
        <v>18.48</v>
      </c>
    </row>
    <row r="227" spans="2:22" ht="16.05" hidden="1" customHeight="1" outlineLevel="1">
      <c r="B227" s="660"/>
      <c r="C227" s="635"/>
      <c r="D227" s="143" t="s">
        <v>117</v>
      </c>
      <c r="E227" s="143">
        <v>206</v>
      </c>
      <c r="F227" s="143" t="s">
        <v>122</v>
      </c>
      <c r="G227" s="144">
        <f>G180*'Données Energie'!G$5</f>
        <v>23.231999999999999</v>
      </c>
      <c r="H227" s="144">
        <f>H180*'Données Energie'!H$5</f>
        <v>19.536000000000001</v>
      </c>
      <c r="I227" s="144">
        <f>I180*'Données Energie'!I$5</f>
        <v>15.84</v>
      </c>
      <c r="J227" s="144">
        <f>J180*'Données Energie'!J$5</f>
        <v>19.932000000000002</v>
      </c>
      <c r="K227" s="144">
        <f>K180*'Données Energie'!K$5</f>
        <v>19.8</v>
      </c>
      <c r="L227" s="144">
        <f>L180*'Données Energie'!L$5</f>
        <v>21.12</v>
      </c>
      <c r="M227" s="144">
        <f>M180*'Données Energie'!M$5</f>
        <v>19.008000000000003</v>
      </c>
      <c r="N227" s="144">
        <f>N180*'Données Energie'!N$5</f>
        <v>23.891999999999999</v>
      </c>
      <c r="O227" s="144">
        <f>O180*'Données Energie'!O$5</f>
        <v>35.64</v>
      </c>
      <c r="P227" s="144">
        <f>P180*'Données Energie'!P$5</f>
        <v>19.536000000000001</v>
      </c>
      <c r="Q227" s="144">
        <f>Q180*'Données Energie'!Q$5</f>
        <v>18.216000000000001</v>
      </c>
      <c r="R227" s="144">
        <f>R180*'Données Energie'!R$5</f>
        <v>13.596</v>
      </c>
    </row>
    <row r="228" spans="2:22" ht="16.05" hidden="1" customHeight="1" outlineLevel="1">
      <c r="B228" s="660"/>
      <c r="C228" s="635"/>
      <c r="D228" s="143" t="s">
        <v>117</v>
      </c>
      <c r="E228" s="143">
        <v>602</v>
      </c>
      <c r="F228" s="143" t="s">
        <v>126</v>
      </c>
      <c r="G228" s="144">
        <f>G181*'Données Energie'!G$5</f>
        <v>64.415999999999997</v>
      </c>
      <c r="H228" s="144">
        <f>H181*'Données Energie'!H$5</f>
        <v>49.103999999999999</v>
      </c>
      <c r="I228" s="144">
        <f>I181*'Données Energie'!I$5</f>
        <v>55.836000000000006</v>
      </c>
      <c r="J228" s="144">
        <f>J181*'Données Energie'!J$5</f>
        <v>54.78</v>
      </c>
      <c r="K228" s="144">
        <f>K181*'Données Energie'!K$5</f>
        <v>59.268000000000001</v>
      </c>
      <c r="L228" s="144">
        <f>L181*'Données Energie'!L$5</f>
        <v>54.648000000000003</v>
      </c>
      <c r="M228" s="144">
        <f>M181*'Données Energie'!M$5</f>
        <v>45.54</v>
      </c>
      <c r="N228" s="144">
        <f>N181*'Données Energie'!N$5</f>
        <v>58.476000000000006</v>
      </c>
      <c r="O228" s="144">
        <f>O181*'Données Energie'!O$5</f>
        <v>84.084000000000003</v>
      </c>
      <c r="P228" s="144">
        <f>P181*'Données Energie'!P$5</f>
        <v>86.856000000000009</v>
      </c>
      <c r="Q228" s="144">
        <f>Q181*'Données Energie'!Q$5</f>
        <v>59.664000000000001</v>
      </c>
      <c r="R228" s="144">
        <f>R181*'Données Energie'!R$5</f>
        <v>23.1</v>
      </c>
    </row>
    <row r="229" spans="2:22" ht="16.05" hidden="1" customHeight="1" outlineLevel="1">
      <c r="B229" s="660"/>
      <c r="C229" s="635"/>
      <c r="D229" s="143" t="s">
        <v>117</v>
      </c>
      <c r="E229" s="143">
        <v>408</v>
      </c>
      <c r="F229" s="143" t="s">
        <v>127</v>
      </c>
      <c r="G229" s="144">
        <f>G182*'Données Energie'!G$5</f>
        <v>0</v>
      </c>
      <c r="H229" s="144">
        <f>H182*'Données Energie'!H$5</f>
        <v>0</v>
      </c>
      <c r="I229" s="144">
        <f>I182*'Données Energie'!I$5</f>
        <v>4.8840000000000003</v>
      </c>
      <c r="J229" s="144">
        <f>J182*'Données Energie'!J$5</f>
        <v>33</v>
      </c>
      <c r="K229" s="144">
        <f>K182*'Données Energie'!K$5</f>
        <v>34.716000000000001</v>
      </c>
      <c r="L229" s="144">
        <f>L182*'Données Energie'!L$5</f>
        <v>47.652000000000001</v>
      </c>
      <c r="M229" s="144">
        <f>M182*'Données Energie'!M$5</f>
        <v>50.292000000000002</v>
      </c>
      <c r="N229" s="144">
        <f>N182*'Données Energie'!N$5</f>
        <v>19.272000000000002</v>
      </c>
      <c r="O229" s="144">
        <f>O182*'Données Energie'!O$5</f>
        <v>57.42</v>
      </c>
      <c r="P229" s="144">
        <f>P182*'Données Energie'!P$5</f>
        <v>2.1120000000000001</v>
      </c>
      <c r="Q229" s="144">
        <f>Q182*'Données Energie'!Q$5</f>
        <v>0</v>
      </c>
      <c r="R229" s="144">
        <f>R182*'Données Energie'!R$5</f>
        <v>0</v>
      </c>
    </row>
    <row r="230" spans="2:22" ht="16.05" customHeight="1" collapsed="1">
      <c r="B230" s="660"/>
      <c r="C230" s="635"/>
      <c r="D230" s="143" t="s">
        <v>117</v>
      </c>
      <c r="E230" s="143"/>
      <c r="F230" s="143" t="s">
        <v>95</v>
      </c>
      <c r="G230" s="144">
        <f t="shared" ref="G230:N230" si="26">SUM(G224:G229)</f>
        <v>221.49600000000001</v>
      </c>
      <c r="H230" s="144">
        <f t="shared" si="26"/>
        <v>255.68399999999997</v>
      </c>
      <c r="I230" s="144">
        <f t="shared" si="26"/>
        <v>311.65200000000004</v>
      </c>
      <c r="J230" s="144">
        <f t="shared" si="26"/>
        <v>302.67600000000004</v>
      </c>
      <c r="K230" s="144">
        <f t="shared" si="26"/>
        <v>360.75599999999997</v>
      </c>
      <c r="L230" s="144">
        <f t="shared" si="26"/>
        <v>410.78399999999999</v>
      </c>
      <c r="M230" s="144">
        <f t="shared" si="26"/>
        <v>446.82000000000005</v>
      </c>
      <c r="N230" s="144">
        <f t="shared" si="26"/>
        <v>341.08800000000002</v>
      </c>
      <c r="O230" s="144">
        <f>SUM(O224:O229)</f>
        <v>443.25600000000003</v>
      </c>
      <c r="P230" s="144">
        <f>SUM(P224:P229)</f>
        <v>404.58000000000004</v>
      </c>
      <c r="Q230" s="144">
        <f>SUM(Q224:Q229)</f>
        <v>376.72800000000001</v>
      </c>
      <c r="R230" s="144">
        <f>SUM(R224:R229)</f>
        <v>224.136</v>
      </c>
    </row>
    <row r="231" spans="2:22" ht="16.05" customHeight="1">
      <c r="B231" s="660"/>
      <c r="C231" s="635"/>
      <c r="D231" s="134" t="s">
        <v>128</v>
      </c>
      <c r="E231" s="134"/>
      <c r="F231" s="134" t="s">
        <v>36</v>
      </c>
      <c r="G231" s="135">
        <f t="shared" ref="G231:Q231" si="27">G203+G223+G230</f>
        <v>12598.739999999998</v>
      </c>
      <c r="H231" s="135">
        <f t="shared" si="27"/>
        <v>11605.439999999999</v>
      </c>
      <c r="I231" s="135">
        <f t="shared" si="27"/>
        <v>9618.84</v>
      </c>
      <c r="J231" s="135">
        <f t="shared" si="27"/>
        <v>8501.3279999999995</v>
      </c>
      <c r="K231" s="135">
        <f t="shared" si="27"/>
        <v>8377.116</v>
      </c>
      <c r="L231" s="135">
        <f t="shared" si="27"/>
        <v>7756.4519999999993</v>
      </c>
      <c r="M231" s="135">
        <f t="shared" si="27"/>
        <v>7626.96</v>
      </c>
      <c r="N231" s="135">
        <f t="shared" si="27"/>
        <v>6261.155999999999</v>
      </c>
      <c r="O231" s="135">
        <f t="shared" si="27"/>
        <v>6091.6679999999988</v>
      </c>
      <c r="P231" s="135">
        <f t="shared" si="27"/>
        <v>7019.760000000002</v>
      </c>
      <c r="Q231" s="135">
        <f t="shared" si="27"/>
        <v>5402.7600000000011</v>
      </c>
      <c r="R231" s="135">
        <f>R203+R223+R230</f>
        <v>2888.2919999999999</v>
      </c>
    </row>
    <row r="232" spans="2:22" ht="16.05" hidden="1" customHeight="1" outlineLevel="1">
      <c r="B232" s="660"/>
      <c r="C232" s="635"/>
      <c r="D232" s="123" t="s">
        <v>129</v>
      </c>
      <c r="E232" s="123">
        <v>704</v>
      </c>
      <c r="F232" s="123" t="s">
        <v>130</v>
      </c>
      <c r="G232" s="124">
        <f>G185*'Données Energie'!G$5</f>
        <v>2229.48</v>
      </c>
      <c r="H232" s="124">
        <f>H185*'Données Energie'!H$5</f>
        <v>1934.0640000000001</v>
      </c>
      <c r="I232" s="124">
        <f>I185*'Données Energie'!I$5</f>
        <v>1807.8720000000001</v>
      </c>
      <c r="J232" s="124">
        <f>J185*'Données Energie'!J$5</f>
        <v>1632.048</v>
      </c>
      <c r="K232" s="124">
        <f>K185*'Données Energie'!K$5</f>
        <v>1447.248</v>
      </c>
      <c r="L232" s="124">
        <f>L185*'Données Energie'!L$5</f>
        <v>1486.3200000000002</v>
      </c>
      <c r="M232" s="124">
        <f>M185*'Données Energie'!M$5</f>
        <v>1488.828</v>
      </c>
      <c r="N232" s="124">
        <f>N185*'Données Energie'!N$5</f>
        <v>1307.5920000000001</v>
      </c>
      <c r="O232" s="124">
        <f>O185*'Données Energie'!O$5</f>
        <v>1007.6880000000001</v>
      </c>
      <c r="P232" s="124">
        <f>P185*'Données Energie'!P$5</f>
        <v>741.31200000000001</v>
      </c>
      <c r="Q232" s="124">
        <f>Q185*'Données Energie'!Q$5</f>
        <v>742.89600000000007</v>
      </c>
      <c r="R232" s="124">
        <f>R185*'Données Energie'!R$5</f>
        <v>364.452</v>
      </c>
    </row>
    <row r="233" spans="2:22" ht="16.05" hidden="1" customHeight="1" outlineLevel="1">
      <c r="B233" s="660"/>
      <c r="C233" s="635"/>
      <c r="D233" s="123" t="s">
        <v>129</v>
      </c>
      <c r="E233" s="123">
        <v>608</v>
      </c>
      <c r="F233" s="123" t="s">
        <v>131</v>
      </c>
      <c r="G233" s="124">
        <f>G186*'Données Energie'!G$5</f>
        <v>687.32400000000007</v>
      </c>
      <c r="H233" s="124">
        <f>H186*'Données Energie'!H$5</f>
        <v>562.71600000000001</v>
      </c>
      <c r="I233" s="124">
        <f>I186*'Données Energie'!I$5</f>
        <v>787.38</v>
      </c>
      <c r="J233" s="124">
        <f>J186*'Données Energie'!J$5</f>
        <v>470.18400000000003</v>
      </c>
      <c r="K233" s="124">
        <f>K186*'Données Energie'!K$5</f>
        <v>397.18800000000005</v>
      </c>
      <c r="L233" s="124">
        <f>L186*'Données Energie'!L$5</f>
        <v>389.79599999999999</v>
      </c>
      <c r="M233" s="124">
        <f>M186*'Données Energie'!M$5</f>
        <v>525.096</v>
      </c>
      <c r="N233" s="124">
        <f>N186*'Données Energie'!N$5</f>
        <v>449.85599999999999</v>
      </c>
      <c r="O233" s="124">
        <f>O186*'Données Energie'!O$5</f>
        <v>408.67200000000003</v>
      </c>
      <c r="P233" s="124">
        <f>P186*'Données Energie'!P$5</f>
        <v>479.29200000000003</v>
      </c>
      <c r="Q233" s="124">
        <f>Q186*'Données Energie'!Q$5</f>
        <v>503.31600000000003</v>
      </c>
      <c r="R233" s="124">
        <f>R186*'Données Energie'!R$5</f>
        <v>295.94400000000002</v>
      </c>
    </row>
    <row r="234" spans="2:22" ht="16.05" customHeight="1" collapsed="1">
      <c r="B234" s="660"/>
      <c r="C234" s="635"/>
      <c r="D234" s="134" t="s">
        <v>129</v>
      </c>
      <c r="E234" s="134"/>
      <c r="F234" s="134" t="s">
        <v>36</v>
      </c>
      <c r="G234" s="135">
        <f t="shared" ref="G234:N234" si="28">SUM(G232:G233)</f>
        <v>2916.8040000000001</v>
      </c>
      <c r="H234" s="135">
        <f t="shared" si="28"/>
        <v>2496.7800000000002</v>
      </c>
      <c r="I234" s="135">
        <f t="shared" si="28"/>
        <v>2595.252</v>
      </c>
      <c r="J234" s="135">
        <f t="shared" si="28"/>
        <v>2102.232</v>
      </c>
      <c r="K234" s="135">
        <f t="shared" si="28"/>
        <v>1844.4360000000001</v>
      </c>
      <c r="L234" s="135">
        <f t="shared" si="28"/>
        <v>1876.1160000000002</v>
      </c>
      <c r="M234" s="135">
        <f t="shared" si="28"/>
        <v>2013.924</v>
      </c>
      <c r="N234" s="135">
        <f t="shared" si="28"/>
        <v>1757.4480000000001</v>
      </c>
      <c r="O234" s="135">
        <f>SUM(O232:O233)</f>
        <v>1416.3600000000001</v>
      </c>
      <c r="P234" s="135">
        <f>SUM(P232:P233)</f>
        <v>1220.604</v>
      </c>
      <c r="Q234" s="135">
        <f>SUM(Q232:Q233)</f>
        <v>1246.212</v>
      </c>
      <c r="R234" s="135">
        <f>SUM(R232:R233)</f>
        <v>660.39599999999996</v>
      </c>
    </row>
    <row r="235" spans="2:22" ht="16.05" customHeight="1">
      <c r="B235" s="660"/>
      <c r="C235" s="635"/>
      <c r="D235" s="597" t="s">
        <v>132</v>
      </c>
      <c r="E235" s="597"/>
      <c r="F235" s="597" t="s">
        <v>36</v>
      </c>
      <c r="G235" s="598">
        <f t="shared" ref="G235:Q235" si="29">G199+G231+G234</f>
        <v>27355.151999999998</v>
      </c>
      <c r="H235" s="598">
        <f t="shared" si="29"/>
        <v>26033.303999999996</v>
      </c>
      <c r="I235" s="598">
        <f t="shared" si="29"/>
        <v>25277.472000000002</v>
      </c>
      <c r="J235" s="598">
        <f t="shared" si="29"/>
        <v>23415.744000000002</v>
      </c>
      <c r="K235" s="598">
        <f t="shared" si="29"/>
        <v>22950.972000000002</v>
      </c>
      <c r="L235" s="598">
        <f t="shared" si="29"/>
        <v>22268.334000000003</v>
      </c>
      <c r="M235" s="598">
        <f t="shared" si="29"/>
        <v>21629.85</v>
      </c>
      <c r="N235" s="598">
        <f t="shared" si="29"/>
        <v>20491.482</v>
      </c>
      <c r="O235" s="598">
        <f t="shared" si="29"/>
        <v>20594.507999999998</v>
      </c>
      <c r="P235" s="598">
        <f t="shared" si="29"/>
        <v>21670.572</v>
      </c>
      <c r="Q235" s="598">
        <f t="shared" si="29"/>
        <v>19149.768</v>
      </c>
      <c r="R235" s="598">
        <f>R199+R231+R234</f>
        <v>15188.183999999999</v>
      </c>
    </row>
    <row r="236" spans="2:22" ht="33" customHeight="1" thickBot="1">
      <c r="B236" s="661"/>
      <c r="C236" s="424" t="s">
        <v>1127</v>
      </c>
      <c r="D236" s="596" t="s">
        <v>132</v>
      </c>
      <c r="E236" s="132"/>
      <c r="F236" s="596" t="s">
        <v>36</v>
      </c>
      <c r="G236" s="599">
        <f t="shared" ref="G236:H236" si="30">G235*G6/1000</f>
        <v>3.0090667199999999</v>
      </c>
      <c r="H236" s="599">
        <f t="shared" si="30"/>
        <v>2.8636634399999998</v>
      </c>
      <c r="I236" s="599">
        <f>I235*I6/1000</f>
        <v>2.78052192</v>
      </c>
      <c r="J236" s="599">
        <f t="shared" ref="J236:R236" si="31">J235*J6/1000</f>
        <v>2.5757318400000004</v>
      </c>
      <c r="K236" s="599">
        <f t="shared" si="31"/>
        <v>2.5246069200000001</v>
      </c>
      <c r="L236" s="599">
        <f t="shared" si="31"/>
        <v>2.4495167400000004</v>
      </c>
      <c r="M236" s="599">
        <f t="shared" si="31"/>
        <v>2.3792835000000001</v>
      </c>
      <c r="N236" s="599">
        <f t="shared" si="31"/>
        <v>2.2540630200000003</v>
      </c>
      <c r="O236" s="599">
        <f t="shared" si="31"/>
        <v>2.2653958799999994</v>
      </c>
      <c r="P236" s="599">
        <f t="shared" si="31"/>
        <v>2.3837629200000001</v>
      </c>
      <c r="Q236" s="599">
        <f t="shared" si="31"/>
        <v>2.1064744799999997</v>
      </c>
      <c r="R236" s="599">
        <f t="shared" si="31"/>
        <v>1.6707002399999999</v>
      </c>
    </row>
    <row r="237" spans="2:22" ht="16.05" customHeight="1" outlineLevel="1">
      <c r="B237" s="654" t="s">
        <v>44</v>
      </c>
      <c r="C237" s="635" t="s">
        <v>73</v>
      </c>
      <c r="D237" s="414" t="s">
        <v>74</v>
      </c>
      <c r="E237" s="414">
        <v>102</v>
      </c>
      <c r="F237" s="414" t="s">
        <v>76</v>
      </c>
      <c r="G237" s="417">
        <v>38364</v>
      </c>
      <c r="H237" s="417">
        <v>35255</v>
      </c>
      <c r="I237" s="417">
        <v>30919</v>
      </c>
      <c r="J237" s="417">
        <v>28882</v>
      </c>
      <c r="K237" s="417">
        <v>31926</v>
      </c>
      <c r="L237" s="417">
        <v>34530</v>
      </c>
      <c r="M237" s="417">
        <v>32867</v>
      </c>
      <c r="N237" s="417">
        <v>31333</v>
      </c>
      <c r="O237" s="417">
        <v>26512</v>
      </c>
      <c r="P237" s="417">
        <v>8631</v>
      </c>
      <c r="Q237" s="417">
        <v>24159</v>
      </c>
      <c r="R237" s="417">
        <v>29004</v>
      </c>
      <c r="S237" s="464"/>
    </row>
    <row r="238" spans="2:22" ht="16.05" customHeight="1" outlineLevel="1">
      <c r="B238" s="652"/>
      <c r="C238" s="635"/>
      <c r="D238" s="118" t="s">
        <v>74</v>
      </c>
      <c r="E238" s="118">
        <v>605</v>
      </c>
      <c r="F238" s="118" t="s">
        <v>79</v>
      </c>
      <c r="G238" s="119">
        <v>256987</v>
      </c>
      <c r="H238" s="119">
        <v>259518</v>
      </c>
      <c r="I238" s="119">
        <v>258440</v>
      </c>
      <c r="J238" s="119">
        <v>278671</v>
      </c>
      <c r="K238" s="119">
        <v>258804</v>
      </c>
      <c r="L238" s="119">
        <v>210011</v>
      </c>
      <c r="M238" s="119">
        <v>236246</v>
      </c>
      <c r="N238" s="119">
        <v>216493</v>
      </c>
      <c r="O238" s="119">
        <v>211241</v>
      </c>
      <c r="P238" s="119">
        <v>215182</v>
      </c>
      <c r="Q238" s="119">
        <v>214216</v>
      </c>
      <c r="R238" s="119">
        <v>131329</v>
      </c>
      <c r="S238" s="464"/>
    </row>
    <row r="239" spans="2:22" ht="16.05" customHeight="1" outlineLevel="1">
      <c r="B239" s="652"/>
      <c r="C239" s="635"/>
      <c r="D239" s="118" t="s">
        <v>74</v>
      </c>
      <c r="E239" s="118">
        <v>607</v>
      </c>
      <c r="F239" s="118" t="s">
        <v>80</v>
      </c>
      <c r="G239" s="119">
        <v>738979</v>
      </c>
      <c r="H239" s="119">
        <v>839763</v>
      </c>
      <c r="I239" s="119">
        <v>696666</v>
      </c>
      <c r="J239" s="119">
        <v>780378</v>
      </c>
      <c r="K239" s="119">
        <v>788906</v>
      </c>
      <c r="L239" s="119">
        <v>635197</v>
      </c>
      <c r="M239" s="119">
        <v>746220</v>
      </c>
      <c r="N239" s="119">
        <v>729249</v>
      </c>
      <c r="O239" s="119">
        <v>754975</v>
      </c>
      <c r="P239" s="119">
        <v>628795</v>
      </c>
      <c r="Q239" s="119">
        <v>682957</v>
      </c>
      <c r="R239" s="119">
        <v>430101</v>
      </c>
      <c r="S239" s="464"/>
      <c r="U239" s="466"/>
      <c r="V239" s="34"/>
    </row>
    <row r="240" spans="2:22" ht="16.05" customHeight="1" outlineLevel="1">
      <c r="B240" s="652"/>
      <c r="C240" s="635"/>
      <c r="D240" s="118" t="s">
        <v>74</v>
      </c>
      <c r="E240" s="118" t="s">
        <v>81</v>
      </c>
      <c r="F240" s="118" t="s">
        <v>82</v>
      </c>
      <c r="G240" s="119">
        <v>1098907</v>
      </c>
      <c r="H240" s="119">
        <v>1164320</v>
      </c>
      <c r="I240" s="119">
        <v>1032894</v>
      </c>
      <c r="J240" s="119">
        <v>1081790</v>
      </c>
      <c r="K240" s="119">
        <v>1210824</v>
      </c>
      <c r="L240" s="119">
        <v>895839</v>
      </c>
      <c r="M240" s="119">
        <v>1096659</v>
      </c>
      <c r="N240" s="119">
        <v>1055405</v>
      </c>
      <c r="O240" s="119">
        <v>1029619</v>
      </c>
      <c r="P240" s="119">
        <v>1144423</v>
      </c>
      <c r="Q240" s="119">
        <v>1029076</v>
      </c>
      <c r="R240" s="119">
        <v>616173</v>
      </c>
      <c r="S240" s="464"/>
      <c r="U240" s="465"/>
    </row>
    <row r="241" spans="2:20" ht="16.05" customHeight="1" outlineLevel="1">
      <c r="B241" s="652"/>
      <c r="C241" s="635"/>
      <c r="D241" s="118" t="s">
        <v>74</v>
      </c>
      <c r="E241" s="118" t="s">
        <v>81</v>
      </c>
      <c r="F241" s="118" t="s">
        <v>139</v>
      </c>
      <c r="G241" s="119">
        <v>443520</v>
      </c>
      <c r="H241" s="119">
        <v>473083</v>
      </c>
      <c r="I241" s="119">
        <v>415505</v>
      </c>
      <c r="J241" s="119">
        <v>376699</v>
      </c>
      <c r="K241" s="119">
        <v>337325</v>
      </c>
      <c r="L241" s="119">
        <v>258446</v>
      </c>
      <c r="M241" s="119">
        <v>285989</v>
      </c>
      <c r="N241" s="119">
        <v>267926</v>
      </c>
      <c r="O241" s="119">
        <v>287491</v>
      </c>
      <c r="P241" s="119">
        <v>229134</v>
      </c>
      <c r="Q241" s="119">
        <v>244550</v>
      </c>
      <c r="R241" s="119">
        <v>230793</v>
      </c>
      <c r="S241" s="464"/>
    </row>
    <row r="242" spans="2:20" ht="15.75" customHeight="1" outlineLevel="1">
      <c r="B242" s="652"/>
      <c r="C242" s="635"/>
      <c r="D242" s="118" t="s">
        <v>74</v>
      </c>
      <c r="E242" s="118">
        <v>603</v>
      </c>
      <c r="F242" s="118" t="s">
        <v>83</v>
      </c>
      <c r="G242" s="119">
        <v>261724</v>
      </c>
      <c r="H242" s="119">
        <v>267498</v>
      </c>
      <c r="I242" s="119">
        <v>304695</v>
      </c>
      <c r="J242" s="119">
        <v>284630</v>
      </c>
      <c r="K242" s="119">
        <v>307535</v>
      </c>
      <c r="L242" s="119">
        <v>239690</v>
      </c>
      <c r="M242" s="119">
        <v>208792</v>
      </c>
      <c r="N242" s="119">
        <v>217670</v>
      </c>
      <c r="O242" s="119">
        <v>247101</v>
      </c>
      <c r="P242" s="119">
        <v>200295</v>
      </c>
      <c r="Q242" s="119">
        <v>176090</v>
      </c>
      <c r="R242" s="119">
        <v>173645</v>
      </c>
      <c r="S242" s="464"/>
    </row>
    <row r="243" spans="2:20" ht="16.05" customHeight="1">
      <c r="B243" s="652"/>
      <c r="C243" s="635"/>
      <c r="D243" s="133" t="s">
        <v>74</v>
      </c>
      <c r="E243" s="133"/>
      <c r="F243" s="133" t="s">
        <v>36</v>
      </c>
      <c r="G243" s="136">
        <f t="shared" ref="G243:Q243" si="32">SUM(G237:G242)</f>
        <v>2838481</v>
      </c>
      <c r="H243" s="136">
        <f t="shared" si="32"/>
        <v>3039437</v>
      </c>
      <c r="I243" s="136">
        <f t="shared" si="32"/>
        <v>2739119</v>
      </c>
      <c r="J243" s="136">
        <f t="shared" si="32"/>
        <v>2831050</v>
      </c>
      <c r="K243" s="136">
        <f t="shared" si="32"/>
        <v>2935320</v>
      </c>
      <c r="L243" s="136">
        <f t="shared" si="32"/>
        <v>2273713</v>
      </c>
      <c r="M243" s="136">
        <f t="shared" si="32"/>
        <v>2606773</v>
      </c>
      <c r="N243" s="136">
        <f t="shared" si="32"/>
        <v>2518076</v>
      </c>
      <c r="O243" s="136">
        <f t="shared" si="32"/>
        <v>2556939</v>
      </c>
      <c r="P243" s="136">
        <f t="shared" si="32"/>
        <v>2426460</v>
      </c>
      <c r="Q243" s="136">
        <f t="shared" si="32"/>
        <v>2371048</v>
      </c>
      <c r="R243" s="136">
        <f>SUM(R237:R242)</f>
        <v>1611045</v>
      </c>
      <c r="S243" s="464"/>
      <c r="T243" s="158"/>
    </row>
    <row r="244" spans="2:20" ht="16.05" customHeight="1" outlineLevel="1">
      <c r="B244" s="652"/>
      <c r="C244" s="635"/>
      <c r="D244" s="123" t="s">
        <v>129</v>
      </c>
      <c r="E244" s="123">
        <v>704</v>
      </c>
      <c r="F244" s="123" t="s">
        <v>130</v>
      </c>
      <c r="G244" s="124">
        <v>1347558</v>
      </c>
      <c r="H244" s="124">
        <v>1365073</v>
      </c>
      <c r="I244" s="124">
        <v>1108750</v>
      </c>
      <c r="J244" s="124">
        <v>1318392</v>
      </c>
      <c r="K244" s="124">
        <v>1461490</v>
      </c>
      <c r="L244" s="124">
        <v>1222496</v>
      </c>
      <c r="M244" s="124">
        <v>1304599</v>
      </c>
      <c r="N244" s="124">
        <v>1144621</v>
      </c>
      <c r="O244" s="124">
        <v>1134293</v>
      </c>
      <c r="P244" s="124">
        <v>947047</v>
      </c>
      <c r="Q244" s="124">
        <v>1184024</v>
      </c>
      <c r="R244" s="124">
        <v>651464</v>
      </c>
      <c r="S244" s="464"/>
    </row>
    <row r="245" spans="2:20" ht="16.05" customHeight="1" outlineLevel="1">
      <c r="B245" s="652"/>
      <c r="C245" s="635"/>
      <c r="D245" s="123" t="s">
        <v>129</v>
      </c>
      <c r="E245" s="123">
        <v>608</v>
      </c>
      <c r="F245" s="123" t="s">
        <v>131</v>
      </c>
      <c r="G245" s="124">
        <v>529286</v>
      </c>
      <c r="H245" s="124">
        <v>598795</v>
      </c>
      <c r="I245" s="124">
        <v>488609</v>
      </c>
      <c r="J245" s="124">
        <v>536124</v>
      </c>
      <c r="K245" s="124">
        <v>681908</v>
      </c>
      <c r="L245" s="124">
        <v>613481</v>
      </c>
      <c r="M245" s="124">
        <v>510366</v>
      </c>
      <c r="N245" s="124">
        <v>449619</v>
      </c>
      <c r="O245" s="124">
        <v>440775</v>
      </c>
      <c r="P245" s="124">
        <v>376975</v>
      </c>
      <c r="Q245" s="124">
        <v>371497</v>
      </c>
      <c r="R245" s="124">
        <v>155282</v>
      </c>
      <c r="S245" s="464"/>
    </row>
    <row r="246" spans="2:20" ht="16.05" customHeight="1">
      <c r="B246" s="652"/>
      <c r="C246" s="635"/>
      <c r="D246" s="134" t="s">
        <v>129</v>
      </c>
      <c r="E246" s="134"/>
      <c r="F246" s="134" t="s">
        <v>36</v>
      </c>
      <c r="G246" s="135">
        <f t="shared" ref="G246:Q246" si="33">SUM(G244:G245)</f>
        <v>1876844</v>
      </c>
      <c r="H246" s="135">
        <f t="shared" si="33"/>
        <v>1963868</v>
      </c>
      <c r="I246" s="135">
        <f t="shared" si="33"/>
        <v>1597359</v>
      </c>
      <c r="J246" s="135">
        <f t="shared" si="33"/>
        <v>1854516</v>
      </c>
      <c r="K246" s="135">
        <f t="shared" si="33"/>
        <v>2143398</v>
      </c>
      <c r="L246" s="135">
        <f t="shared" si="33"/>
        <v>1835977</v>
      </c>
      <c r="M246" s="135">
        <f t="shared" si="33"/>
        <v>1814965</v>
      </c>
      <c r="N246" s="135">
        <f t="shared" si="33"/>
        <v>1594240</v>
      </c>
      <c r="O246" s="135">
        <f t="shared" si="33"/>
        <v>1575068</v>
      </c>
      <c r="P246" s="135">
        <f t="shared" si="33"/>
        <v>1324022</v>
      </c>
      <c r="Q246" s="135">
        <f t="shared" si="33"/>
        <v>1555521</v>
      </c>
      <c r="R246" s="135">
        <f>SUM(R244:R245)</f>
        <v>806746</v>
      </c>
      <c r="S246" s="464"/>
    </row>
    <row r="247" spans="2:20" ht="16.05" customHeight="1" outlineLevel="1">
      <c r="B247" s="652"/>
      <c r="C247" s="635"/>
      <c r="D247" s="123" t="s">
        <v>140</v>
      </c>
      <c r="E247" s="123">
        <v>107</v>
      </c>
      <c r="F247" s="123" t="s">
        <v>99</v>
      </c>
      <c r="G247" s="123"/>
      <c r="H247" s="123">
        <v>422</v>
      </c>
      <c r="I247" s="123">
        <v>377</v>
      </c>
      <c r="J247" s="123">
        <v>342</v>
      </c>
      <c r="K247" s="123">
        <v>384</v>
      </c>
      <c r="L247" s="123">
        <v>321</v>
      </c>
      <c r="M247" s="123">
        <v>420</v>
      </c>
      <c r="N247" s="123">
        <v>566</v>
      </c>
      <c r="O247" s="123">
        <v>490</v>
      </c>
      <c r="P247" s="123">
        <v>-417</v>
      </c>
      <c r="Q247" s="123">
        <v>0</v>
      </c>
      <c r="R247" s="123">
        <v>0</v>
      </c>
      <c r="S247" s="464"/>
    </row>
    <row r="248" spans="2:20" ht="16.05" customHeight="1" outlineLevel="1">
      <c r="B248" s="652"/>
      <c r="C248" s="635"/>
      <c r="D248" s="123" t="s">
        <v>140</v>
      </c>
      <c r="E248" s="123">
        <v>321</v>
      </c>
      <c r="F248" s="123" t="s">
        <v>87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>
        <v>1166</v>
      </c>
      <c r="Q248" s="123">
        <v>2316</v>
      </c>
      <c r="R248" s="123">
        <v>1169</v>
      </c>
      <c r="S248" s="464"/>
    </row>
    <row r="249" spans="2:20" ht="16.05" customHeight="1" outlineLevel="1">
      <c r="B249" s="652"/>
      <c r="C249" s="635"/>
      <c r="D249" s="123" t="s">
        <v>140</v>
      </c>
      <c r="E249" s="123">
        <v>406</v>
      </c>
      <c r="F249" s="123" t="s">
        <v>114</v>
      </c>
      <c r="G249" s="123"/>
      <c r="H249" s="123">
        <v>411</v>
      </c>
      <c r="I249" s="123">
        <v>675</v>
      </c>
      <c r="J249" s="123"/>
      <c r="K249" s="123">
        <v>0</v>
      </c>
      <c r="L249" s="123">
        <v>209</v>
      </c>
      <c r="M249" s="123"/>
      <c r="N249" s="123">
        <v>-45</v>
      </c>
      <c r="O249" s="123">
        <v>31</v>
      </c>
      <c r="P249" s="123">
        <v>353</v>
      </c>
      <c r="Q249" s="123">
        <v>751</v>
      </c>
      <c r="R249" s="123">
        <v>624</v>
      </c>
      <c r="S249" s="464"/>
    </row>
    <row r="250" spans="2:20" ht="16.05" customHeight="1" outlineLevel="1">
      <c r="B250" s="652"/>
      <c r="C250" s="635"/>
      <c r="D250" s="123" t="s">
        <v>140</v>
      </c>
      <c r="E250" s="123"/>
      <c r="F250" s="123" t="s">
        <v>89</v>
      </c>
      <c r="G250" s="123"/>
      <c r="H250" s="123"/>
      <c r="I250" s="123"/>
      <c r="J250" s="123"/>
      <c r="K250" s="123"/>
      <c r="L250" s="123"/>
      <c r="M250" s="123"/>
      <c r="N250" s="123"/>
      <c r="O250" s="123">
        <v>73887</v>
      </c>
      <c r="P250" s="123">
        <v>82650</v>
      </c>
      <c r="Q250" s="123">
        <v>59049</v>
      </c>
      <c r="R250" s="388">
        <v>61040</v>
      </c>
      <c r="S250" s="464"/>
    </row>
    <row r="251" spans="2:20" ht="16.05" customHeight="1">
      <c r="B251" s="652"/>
      <c r="C251" s="635"/>
      <c r="D251" s="134" t="s">
        <v>140</v>
      </c>
      <c r="E251" s="134"/>
      <c r="F251" s="134" t="s">
        <v>36</v>
      </c>
      <c r="G251" s="134">
        <f>SUM(G247:G249)</f>
        <v>0</v>
      </c>
      <c r="H251" s="134">
        <f t="shared" ref="H251:R251" si="34">SUM(H247:H249)</f>
        <v>833</v>
      </c>
      <c r="I251" s="134">
        <f t="shared" si="34"/>
        <v>1052</v>
      </c>
      <c r="J251" s="134">
        <f t="shared" si="34"/>
        <v>342</v>
      </c>
      <c r="K251" s="134">
        <f t="shared" si="34"/>
        <v>384</v>
      </c>
      <c r="L251" s="134">
        <f t="shared" si="34"/>
        <v>530</v>
      </c>
      <c r="M251" s="134">
        <f t="shared" si="34"/>
        <v>420</v>
      </c>
      <c r="N251" s="134">
        <f t="shared" si="34"/>
        <v>521</v>
      </c>
      <c r="O251" s="134">
        <f t="shared" si="34"/>
        <v>521</v>
      </c>
      <c r="P251" s="134">
        <f t="shared" si="34"/>
        <v>1102</v>
      </c>
      <c r="Q251" s="134">
        <f t="shared" si="34"/>
        <v>3067</v>
      </c>
      <c r="R251" s="134">
        <f t="shared" si="34"/>
        <v>1793</v>
      </c>
      <c r="S251" s="464"/>
      <c r="T251" s="45"/>
    </row>
    <row r="252" spans="2:20" ht="16.05" customHeight="1">
      <c r="B252" s="652"/>
      <c r="C252" s="636"/>
      <c r="D252" s="130" t="s">
        <v>132</v>
      </c>
      <c r="E252" s="130"/>
      <c r="F252" s="130" t="s">
        <v>36</v>
      </c>
      <c r="G252" s="131">
        <f>G243+G246+G251</f>
        <v>4715325</v>
      </c>
      <c r="H252" s="131">
        <f t="shared" ref="H252:R252" si="35">H243+H246+H251</f>
        <v>5004138</v>
      </c>
      <c r="I252" s="131">
        <f t="shared" si="35"/>
        <v>4337530</v>
      </c>
      <c r="J252" s="131">
        <f t="shared" si="35"/>
        <v>4685908</v>
      </c>
      <c r="K252" s="131">
        <f t="shared" si="35"/>
        <v>5079102</v>
      </c>
      <c r="L252" s="131">
        <f t="shared" si="35"/>
        <v>4110220</v>
      </c>
      <c r="M252" s="131">
        <f t="shared" si="35"/>
        <v>4422158</v>
      </c>
      <c r="N252" s="131">
        <f t="shared" si="35"/>
        <v>4112837</v>
      </c>
      <c r="O252" s="131">
        <f t="shared" si="35"/>
        <v>4132528</v>
      </c>
      <c r="P252" s="131">
        <f t="shared" si="35"/>
        <v>3751584</v>
      </c>
      <c r="Q252" s="131">
        <f t="shared" si="35"/>
        <v>3929636</v>
      </c>
      <c r="R252" s="131">
        <f t="shared" si="35"/>
        <v>2419584</v>
      </c>
      <c r="S252" s="381"/>
      <c r="T252" s="48"/>
    </row>
    <row r="253" spans="2:20" ht="16.05" hidden="1" customHeight="1" outlineLevel="1">
      <c r="B253" s="652"/>
      <c r="C253" s="647" t="s">
        <v>802</v>
      </c>
      <c r="D253" s="118" t="s">
        <v>74</v>
      </c>
      <c r="E253" s="118">
        <v>102</v>
      </c>
      <c r="F253" s="118" t="s">
        <v>76</v>
      </c>
      <c r="G253" s="119">
        <f>G237*'Données Energie'!G$7</f>
        <v>7864.62</v>
      </c>
      <c r="H253" s="119">
        <f>H237*'Données Energie'!H$7</f>
        <v>7227.2749999999996</v>
      </c>
      <c r="I253" s="119">
        <f>I237*'Données Energie'!I$7</f>
        <v>6338.3949999999995</v>
      </c>
      <c r="J253" s="119">
        <f>J237*'Données Energie'!J$7</f>
        <v>5920.8099999999995</v>
      </c>
      <c r="K253" s="119">
        <f>K237*'Données Energie'!K$7</f>
        <v>6544.83</v>
      </c>
      <c r="L253" s="119">
        <f>L237*'Données Energie'!L$7</f>
        <v>7078.65</v>
      </c>
      <c r="M253" s="119">
        <f>M237*'Données Energie'!M$7</f>
        <v>6737.7349999999997</v>
      </c>
      <c r="N253" s="119">
        <f>N237*'Données Energie'!N$7</f>
        <v>6423.2649999999994</v>
      </c>
      <c r="O253" s="119">
        <f>O237*'Données Energie'!O$7</f>
        <v>5434.96</v>
      </c>
      <c r="P253" s="119">
        <f>P237*'Données Energie'!P$7</f>
        <v>1769.3549999999998</v>
      </c>
      <c r="Q253" s="119">
        <f>Q237*'Données Energie'!Q$7</f>
        <v>4952.5949999999993</v>
      </c>
      <c r="R253" s="119">
        <f>R237*'Données Energie'!R$7</f>
        <v>5945.82</v>
      </c>
    </row>
    <row r="254" spans="2:20" ht="16.05" hidden="1" customHeight="1" outlineLevel="1">
      <c r="B254" s="652"/>
      <c r="C254" s="648"/>
      <c r="D254" s="118" t="s">
        <v>74</v>
      </c>
      <c r="E254" s="118">
        <v>605</v>
      </c>
      <c r="F254" s="118" t="s">
        <v>79</v>
      </c>
      <c r="G254" s="119">
        <f>G238*'Données Energie'!G$7</f>
        <v>52682.334999999999</v>
      </c>
      <c r="H254" s="119">
        <f>H238*'Données Energie'!H$7</f>
        <v>53201.189999999995</v>
      </c>
      <c r="I254" s="119">
        <f>I238*'Données Energie'!I$7</f>
        <v>52980.2</v>
      </c>
      <c r="J254" s="119">
        <f>J238*'Données Energie'!J$7</f>
        <v>57127.554999999993</v>
      </c>
      <c r="K254" s="119">
        <f>K238*'Données Energie'!K$7</f>
        <v>53054.82</v>
      </c>
      <c r="L254" s="119">
        <f>L238*'Données Energie'!L$7</f>
        <v>43052.254999999997</v>
      </c>
      <c r="M254" s="119">
        <f>M238*'Données Energie'!M$7</f>
        <v>48430.43</v>
      </c>
      <c r="N254" s="119">
        <f>N238*'Données Energie'!N$7</f>
        <v>44381.064999999995</v>
      </c>
      <c r="O254" s="119">
        <f>O238*'Données Energie'!O$7</f>
        <v>43304.404999999999</v>
      </c>
      <c r="P254" s="119">
        <f>P238*'Données Energie'!P$7</f>
        <v>44112.31</v>
      </c>
      <c r="Q254" s="119">
        <f>Q238*'Données Energie'!Q$7</f>
        <v>43914.28</v>
      </c>
      <c r="R254" s="119">
        <f>R238*'Données Energie'!R$7</f>
        <v>26922.445</v>
      </c>
    </row>
    <row r="255" spans="2:20" ht="16.05" hidden="1" customHeight="1" outlineLevel="1">
      <c r="B255" s="652"/>
      <c r="C255" s="648"/>
      <c r="D255" s="118" t="s">
        <v>74</v>
      </c>
      <c r="E255" s="118">
        <v>607</v>
      </c>
      <c r="F255" s="118" t="s">
        <v>80</v>
      </c>
      <c r="G255" s="119">
        <f>G239*'Données Energie'!G$7</f>
        <v>151490.69499999998</v>
      </c>
      <c r="H255" s="119">
        <f>H239*'Données Energie'!H$7</f>
        <v>172151.41499999998</v>
      </c>
      <c r="I255" s="119">
        <f>I239*'Données Energie'!I$7</f>
        <v>142816.53</v>
      </c>
      <c r="J255" s="119">
        <f>J239*'Données Energie'!J$7</f>
        <v>159977.49</v>
      </c>
      <c r="K255" s="119">
        <f>K239*'Données Energie'!K$7</f>
        <v>161725.72999999998</v>
      </c>
      <c r="L255" s="119">
        <f>L239*'Données Energie'!L$7</f>
        <v>130215.38499999999</v>
      </c>
      <c r="M255" s="119">
        <f>M239*'Données Energie'!M$7</f>
        <v>152975.09999999998</v>
      </c>
      <c r="N255" s="119">
        <f>N239*'Données Energie'!N$7</f>
        <v>149496.04499999998</v>
      </c>
      <c r="O255" s="119">
        <f>O239*'Données Energie'!O$7</f>
        <v>154769.875</v>
      </c>
      <c r="P255" s="119">
        <f>P239*'Données Energie'!P$7</f>
        <v>128902.97499999999</v>
      </c>
      <c r="Q255" s="119">
        <f>Q239*'Données Energie'!Q$7</f>
        <v>140006.185</v>
      </c>
      <c r="R255" s="119">
        <f>R239*'Données Energie'!R$7</f>
        <v>88170.705000000002</v>
      </c>
    </row>
    <row r="256" spans="2:20" ht="16.05" hidden="1" customHeight="1" outlineLevel="1">
      <c r="B256" s="652"/>
      <c r="C256" s="648"/>
      <c r="D256" s="118" t="s">
        <v>74</v>
      </c>
      <c r="E256" s="118" t="s">
        <v>81</v>
      </c>
      <c r="F256" s="118" t="s">
        <v>82</v>
      </c>
      <c r="G256" s="119">
        <f>G240*'Données Energie'!G$7</f>
        <v>225275.935</v>
      </c>
      <c r="H256" s="119">
        <f>H240*'Données Energie'!H$7</f>
        <v>238685.59999999998</v>
      </c>
      <c r="I256" s="119">
        <f>I240*'Données Energie'!I$7</f>
        <v>211743.27</v>
      </c>
      <c r="J256" s="119">
        <f>J240*'Données Energie'!J$7</f>
        <v>221766.94999999998</v>
      </c>
      <c r="K256" s="119">
        <f>K240*'Données Energie'!K$7</f>
        <v>248218.91999999998</v>
      </c>
      <c r="L256" s="119">
        <f>L240*'Données Energie'!L$7</f>
        <v>183646.995</v>
      </c>
      <c r="M256" s="119">
        <f>M240*'Données Energie'!M$7</f>
        <v>224815.09499999997</v>
      </c>
      <c r="N256" s="119">
        <f>N240*'Données Energie'!N$7</f>
        <v>216358.02499999999</v>
      </c>
      <c r="O256" s="119">
        <f>O240*'Données Energie'!O$7</f>
        <v>211071.89499999999</v>
      </c>
      <c r="P256" s="119">
        <f>P240*'Données Energie'!P$7</f>
        <v>234606.715</v>
      </c>
      <c r="Q256" s="119">
        <f>Q240*'Données Energie'!Q$7</f>
        <v>210960.58</v>
      </c>
      <c r="R256" s="119">
        <f>R240*'Données Energie'!R$7</f>
        <v>126315.465</v>
      </c>
    </row>
    <row r="257" spans="2:22" ht="16.05" hidden="1" customHeight="1" outlineLevel="1">
      <c r="B257" s="652"/>
      <c r="C257" s="648"/>
      <c r="D257" s="118" t="s">
        <v>74</v>
      </c>
      <c r="E257" s="118" t="s">
        <v>81</v>
      </c>
      <c r="F257" s="118" t="s">
        <v>139</v>
      </c>
      <c r="G257" s="119">
        <f>G241*'Données Energie'!G$7</f>
        <v>90921.599999999991</v>
      </c>
      <c r="H257" s="119">
        <f>H241*'Données Energie'!H$7</f>
        <v>96982.014999999999</v>
      </c>
      <c r="I257" s="119">
        <f>I241*'Données Energie'!I$7</f>
        <v>85178.524999999994</v>
      </c>
      <c r="J257" s="119">
        <f>J241*'Données Energie'!J$7</f>
        <v>77223.294999999998</v>
      </c>
      <c r="K257" s="119">
        <f>K241*'Données Energie'!K$7</f>
        <v>69151.625</v>
      </c>
      <c r="L257" s="119">
        <f>L241*'Données Energie'!L$7</f>
        <v>52981.43</v>
      </c>
      <c r="M257" s="119">
        <f>M241*'Données Energie'!M$7</f>
        <v>58627.744999999995</v>
      </c>
      <c r="N257" s="119">
        <f>N241*'Données Energie'!N$7</f>
        <v>54924.829999999994</v>
      </c>
      <c r="O257" s="119">
        <f>O241*'Données Energie'!O$7</f>
        <v>58935.654999999999</v>
      </c>
      <c r="P257" s="119">
        <f>P241*'Données Energie'!P$7</f>
        <v>46972.469999999994</v>
      </c>
      <c r="Q257" s="119">
        <f>Q241*'Données Energie'!Q$7</f>
        <v>50132.75</v>
      </c>
      <c r="R257" s="119">
        <f>R241*'Données Energie'!R$7</f>
        <v>47312.564999999995</v>
      </c>
    </row>
    <row r="258" spans="2:22" ht="16.05" hidden="1" customHeight="1" outlineLevel="1">
      <c r="B258" s="652"/>
      <c r="C258" s="648"/>
      <c r="D258" s="118" t="s">
        <v>74</v>
      </c>
      <c r="E258" s="118">
        <v>603</v>
      </c>
      <c r="F258" s="118" t="s">
        <v>83</v>
      </c>
      <c r="G258" s="119">
        <f>G242*'Données Energie'!G$7</f>
        <v>53653.42</v>
      </c>
      <c r="H258" s="119">
        <f>H242*'Données Energie'!H$7</f>
        <v>54837.09</v>
      </c>
      <c r="I258" s="119">
        <f>I242*'Données Energie'!I$7</f>
        <v>62462.474999999999</v>
      </c>
      <c r="J258" s="119">
        <f>J242*'Données Energie'!J$7</f>
        <v>58349.149999999994</v>
      </c>
      <c r="K258" s="119">
        <f>K242*'Données Energie'!K$7</f>
        <v>63044.674999999996</v>
      </c>
      <c r="L258" s="119">
        <f>L242*'Données Energie'!L$7</f>
        <v>49136.45</v>
      </c>
      <c r="M258" s="119">
        <f>M242*'Données Energie'!M$7</f>
        <v>42802.36</v>
      </c>
      <c r="N258" s="119">
        <f>N242*'Données Energie'!N$7</f>
        <v>44622.35</v>
      </c>
      <c r="O258" s="119">
        <f>O242*'Données Energie'!O$7</f>
        <v>50655.704999999994</v>
      </c>
      <c r="P258" s="119">
        <f>P242*'Données Energie'!P$7</f>
        <v>41060.474999999999</v>
      </c>
      <c r="Q258" s="119">
        <f>Q242*'Données Energie'!Q$7</f>
        <v>36098.449999999997</v>
      </c>
      <c r="R258" s="119">
        <f>R242*'Données Energie'!R$7</f>
        <v>35597.224999999999</v>
      </c>
    </row>
    <row r="259" spans="2:22" ht="15.45" customHeight="1" collapsed="1">
      <c r="B259" s="652"/>
      <c r="C259" s="648"/>
      <c r="D259" s="133" t="s">
        <v>74</v>
      </c>
      <c r="E259" s="133"/>
      <c r="F259" s="133" t="s">
        <v>36</v>
      </c>
      <c r="G259" s="136">
        <f t="shared" ref="G259:Q259" si="36">SUM(G253:G258)</f>
        <v>581888.60499999998</v>
      </c>
      <c r="H259" s="136">
        <f t="shared" si="36"/>
        <v>623084.58499999996</v>
      </c>
      <c r="I259" s="136">
        <f t="shared" si="36"/>
        <v>561519.39500000002</v>
      </c>
      <c r="J259" s="136">
        <f t="shared" si="36"/>
        <v>580365.24999999988</v>
      </c>
      <c r="K259" s="136">
        <f t="shared" si="36"/>
        <v>601740.6</v>
      </c>
      <c r="L259" s="136">
        <f t="shared" si="36"/>
        <v>466111.16499999998</v>
      </c>
      <c r="M259" s="136">
        <f t="shared" si="36"/>
        <v>534388.46499999997</v>
      </c>
      <c r="N259" s="136">
        <f t="shared" si="36"/>
        <v>516205.57999999996</v>
      </c>
      <c r="O259" s="136">
        <f t="shared" si="36"/>
        <v>524172.49500000005</v>
      </c>
      <c r="P259" s="136">
        <f t="shared" si="36"/>
        <v>497424.29999999993</v>
      </c>
      <c r="Q259" s="136">
        <f t="shared" si="36"/>
        <v>486064.84</v>
      </c>
      <c r="R259" s="136">
        <f>SUM(R253:R258)</f>
        <v>330264.22499999998</v>
      </c>
    </row>
    <row r="260" spans="2:22" ht="16.05" hidden="1" customHeight="1" outlineLevel="1">
      <c r="B260" s="652"/>
      <c r="C260" s="648"/>
      <c r="D260" s="123" t="s">
        <v>129</v>
      </c>
      <c r="E260" s="123">
        <v>704</v>
      </c>
      <c r="F260" s="123" t="s">
        <v>130</v>
      </c>
      <c r="G260" s="124">
        <f>G244*'Données Energie'!G$7</f>
        <v>276249.38999999996</v>
      </c>
      <c r="H260" s="124">
        <f>H244*'Données Energie'!H$7</f>
        <v>279839.96499999997</v>
      </c>
      <c r="I260" s="124">
        <f>I244*'Données Energie'!I$7</f>
        <v>227293.75</v>
      </c>
      <c r="J260" s="124">
        <f>J244*'Données Energie'!J$7</f>
        <v>270270.36</v>
      </c>
      <c r="K260" s="124">
        <f>K244*'Données Energie'!K$7</f>
        <v>299605.44999999995</v>
      </c>
      <c r="L260" s="124">
        <f>L244*'Données Energie'!L$7</f>
        <v>250611.68</v>
      </c>
      <c r="M260" s="124">
        <f>M244*'Données Energie'!M$7</f>
        <v>267442.79499999998</v>
      </c>
      <c r="N260" s="124">
        <f>N244*'Données Energie'!N$7</f>
        <v>234647.30499999999</v>
      </c>
      <c r="O260" s="124">
        <f>O244*'Données Energie'!O$7</f>
        <v>232530.06499999997</v>
      </c>
      <c r="P260" s="124">
        <f>P244*'Données Energie'!P$7</f>
        <v>194144.63499999998</v>
      </c>
      <c r="Q260" s="124">
        <f>Q244*'Données Energie'!Q$7</f>
        <v>242724.91999999998</v>
      </c>
      <c r="R260" s="124">
        <f>R244*'Données Energie'!R$7</f>
        <v>133550.12</v>
      </c>
    </row>
    <row r="261" spans="2:22" ht="16.05" hidden="1" customHeight="1" outlineLevel="1">
      <c r="B261" s="652"/>
      <c r="C261" s="648"/>
      <c r="D261" s="123" t="s">
        <v>129</v>
      </c>
      <c r="E261" s="123">
        <v>608</v>
      </c>
      <c r="F261" s="123" t="s">
        <v>131</v>
      </c>
      <c r="G261" s="124">
        <f>G245*'Données Energie'!G$7</f>
        <v>108503.62999999999</v>
      </c>
      <c r="H261" s="124">
        <f>H245*'Données Energie'!H$7</f>
        <v>122752.97499999999</v>
      </c>
      <c r="I261" s="124">
        <f>I245*'Données Energie'!I$7</f>
        <v>100164.845</v>
      </c>
      <c r="J261" s="124">
        <f>J245*'Données Energie'!J$7</f>
        <v>109905.42</v>
      </c>
      <c r="K261" s="124">
        <f>K245*'Données Energie'!K$7</f>
        <v>139791.13999999998</v>
      </c>
      <c r="L261" s="124">
        <f>L245*'Données Energie'!L$7</f>
        <v>125763.605</v>
      </c>
      <c r="M261" s="124">
        <f>M245*'Données Energie'!M$7</f>
        <v>104625.03</v>
      </c>
      <c r="N261" s="124">
        <f>N245*'Données Energie'!N$7</f>
        <v>92171.89499999999</v>
      </c>
      <c r="O261" s="124">
        <f>O245*'Données Energie'!O$7</f>
        <v>90358.875</v>
      </c>
      <c r="P261" s="124">
        <f>P245*'Données Energie'!P$7</f>
        <v>77279.875</v>
      </c>
      <c r="Q261" s="124">
        <f>Q245*'Données Energie'!Q$7</f>
        <v>76156.884999999995</v>
      </c>
      <c r="R261" s="124">
        <f>R245*'Données Energie'!R$7</f>
        <v>31832.809999999998</v>
      </c>
    </row>
    <row r="262" spans="2:22" ht="16.05" customHeight="1" collapsed="1">
      <c r="B262" s="652"/>
      <c r="C262" s="648"/>
      <c r="D262" s="134" t="s">
        <v>129</v>
      </c>
      <c r="E262" s="134"/>
      <c r="F262" s="134" t="s">
        <v>36</v>
      </c>
      <c r="G262" s="135">
        <f t="shared" ref="G262:N262" si="37">SUM(G260:G261)</f>
        <v>384753.01999999996</v>
      </c>
      <c r="H262" s="135">
        <f t="shared" si="37"/>
        <v>402592.93999999994</v>
      </c>
      <c r="I262" s="135">
        <f t="shared" si="37"/>
        <v>327458.59499999997</v>
      </c>
      <c r="J262" s="135">
        <f t="shared" si="37"/>
        <v>380175.77999999997</v>
      </c>
      <c r="K262" s="135">
        <f t="shared" si="37"/>
        <v>439396.58999999997</v>
      </c>
      <c r="L262" s="135">
        <f t="shared" si="37"/>
        <v>376375.28499999997</v>
      </c>
      <c r="M262" s="135">
        <f t="shared" si="37"/>
        <v>372067.82499999995</v>
      </c>
      <c r="N262" s="135">
        <f t="shared" si="37"/>
        <v>326819.19999999995</v>
      </c>
      <c r="O262" s="135">
        <f>SUM(O260:O261)</f>
        <v>322888.93999999994</v>
      </c>
      <c r="P262" s="135">
        <f>SUM(P260:P261)</f>
        <v>271424.51</v>
      </c>
      <c r="Q262" s="135">
        <f>SUM(Q260:Q261)</f>
        <v>318881.80499999999</v>
      </c>
      <c r="R262" s="135">
        <f>SUM(R260:R261)</f>
        <v>165382.93</v>
      </c>
    </row>
    <row r="263" spans="2:22" ht="16.05" hidden="1" customHeight="1" outlineLevel="1">
      <c r="B263" s="652"/>
      <c r="C263" s="648"/>
      <c r="D263" s="123" t="s">
        <v>140</v>
      </c>
      <c r="E263" s="123">
        <v>107</v>
      </c>
      <c r="F263" s="123" t="s">
        <v>99</v>
      </c>
      <c r="G263" s="126">
        <f t="shared" ref="G263:R263" si="38">G247*G$7</f>
        <v>0</v>
      </c>
      <c r="H263" s="126">
        <f t="shared" si="38"/>
        <v>86.509999999999991</v>
      </c>
      <c r="I263" s="126">
        <f t="shared" si="38"/>
        <v>77.284999999999997</v>
      </c>
      <c r="J263" s="126">
        <f t="shared" si="38"/>
        <v>70.11</v>
      </c>
      <c r="K263" s="126">
        <f t="shared" si="38"/>
        <v>78.72</v>
      </c>
      <c r="L263" s="126">
        <f t="shared" si="38"/>
        <v>65.804999999999993</v>
      </c>
      <c r="M263" s="126">
        <f t="shared" si="38"/>
        <v>86.1</v>
      </c>
      <c r="N263" s="126">
        <f t="shared" si="38"/>
        <v>116.02999999999999</v>
      </c>
      <c r="O263" s="126">
        <f t="shared" si="38"/>
        <v>100.44999999999999</v>
      </c>
      <c r="P263" s="126">
        <f t="shared" si="38"/>
        <v>-85.484999999999999</v>
      </c>
      <c r="Q263" s="126">
        <f t="shared" si="38"/>
        <v>0</v>
      </c>
      <c r="R263" s="126">
        <f t="shared" si="38"/>
        <v>0</v>
      </c>
    </row>
    <row r="264" spans="2:22" ht="16.05" hidden="1" customHeight="1" outlineLevel="1">
      <c r="B264" s="652"/>
      <c r="C264" s="648"/>
      <c r="D264" s="123" t="s">
        <v>140</v>
      </c>
      <c r="E264" s="123">
        <v>321</v>
      </c>
      <c r="F264" s="123" t="s">
        <v>87</v>
      </c>
      <c r="G264" s="126">
        <f t="shared" ref="G264:R264" si="39">G248*G$7</f>
        <v>0</v>
      </c>
      <c r="H264" s="126">
        <f t="shared" si="39"/>
        <v>0</v>
      </c>
      <c r="I264" s="126">
        <f t="shared" si="39"/>
        <v>0</v>
      </c>
      <c r="J264" s="126">
        <f t="shared" si="39"/>
        <v>0</v>
      </c>
      <c r="K264" s="126">
        <f t="shared" si="39"/>
        <v>0</v>
      </c>
      <c r="L264" s="126">
        <f t="shared" si="39"/>
        <v>0</v>
      </c>
      <c r="M264" s="126">
        <f t="shared" si="39"/>
        <v>0</v>
      </c>
      <c r="N264" s="126">
        <f t="shared" si="39"/>
        <v>0</v>
      </c>
      <c r="O264" s="126">
        <f t="shared" si="39"/>
        <v>0</v>
      </c>
      <c r="P264" s="126">
        <f t="shared" si="39"/>
        <v>239.02999999999997</v>
      </c>
      <c r="Q264" s="126">
        <f t="shared" si="39"/>
        <v>474.78</v>
      </c>
      <c r="R264" s="126">
        <f t="shared" si="39"/>
        <v>239.64499999999998</v>
      </c>
    </row>
    <row r="265" spans="2:22" ht="16.05" hidden="1" customHeight="1" outlineLevel="1">
      <c r="B265" s="652"/>
      <c r="C265" s="648"/>
      <c r="D265" s="123" t="s">
        <v>140</v>
      </c>
      <c r="E265" s="123">
        <v>406</v>
      </c>
      <c r="F265" s="123" t="s">
        <v>114</v>
      </c>
      <c r="G265" s="126">
        <f t="shared" ref="G265:R265" si="40">G249*G$7</f>
        <v>0</v>
      </c>
      <c r="H265" s="126">
        <f t="shared" si="40"/>
        <v>84.254999999999995</v>
      </c>
      <c r="I265" s="126">
        <f t="shared" si="40"/>
        <v>138.375</v>
      </c>
      <c r="J265" s="126">
        <f t="shared" si="40"/>
        <v>0</v>
      </c>
      <c r="K265" s="126">
        <f t="shared" si="40"/>
        <v>0</v>
      </c>
      <c r="L265" s="126">
        <f t="shared" si="40"/>
        <v>42.844999999999999</v>
      </c>
      <c r="M265" s="126">
        <f t="shared" si="40"/>
        <v>0</v>
      </c>
      <c r="N265" s="126">
        <f t="shared" si="40"/>
        <v>-9.2249999999999996</v>
      </c>
      <c r="O265" s="126">
        <f t="shared" si="40"/>
        <v>6.3549999999999995</v>
      </c>
      <c r="P265" s="126">
        <f t="shared" si="40"/>
        <v>72.364999999999995</v>
      </c>
      <c r="Q265" s="126">
        <f t="shared" si="40"/>
        <v>153.95499999999998</v>
      </c>
      <c r="R265" s="126">
        <f t="shared" si="40"/>
        <v>127.91999999999999</v>
      </c>
    </row>
    <row r="266" spans="2:22" ht="16.05" hidden="1" customHeight="1" outlineLevel="1">
      <c r="B266" s="652"/>
      <c r="C266" s="648"/>
      <c r="D266" s="123" t="s">
        <v>140</v>
      </c>
      <c r="E266" s="123"/>
      <c r="F266" s="123" t="s">
        <v>89</v>
      </c>
      <c r="G266" s="126">
        <f t="shared" ref="G266:R266" si="41">G250*G$7</f>
        <v>0</v>
      </c>
      <c r="H266" s="126">
        <f t="shared" si="41"/>
        <v>0</v>
      </c>
      <c r="I266" s="126">
        <f t="shared" si="41"/>
        <v>0</v>
      </c>
      <c r="J266" s="126">
        <f t="shared" si="41"/>
        <v>0</v>
      </c>
      <c r="K266" s="126">
        <f t="shared" si="41"/>
        <v>0</v>
      </c>
      <c r="L266" s="126">
        <f t="shared" si="41"/>
        <v>0</v>
      </c>
      <c r="M266" s="126">
        <f t="shared" si="41"/>
        <v>0</v>
      </c>
      <c r="N266" s="126">
        <f t="shared" si="41"/>
        <v>0</v>
      </c>
      <c r="O266" s="126">
        <f t="shared" si="41"/>
        <v>15146.834999999999</v>
      </c>
      <c r="P266" s="126">
        <f t="shared" si="41"/>
        <v>16943.25</v>
      </c>
      <c r="Q266" s="126">
        <f t="shared" si="41"/>
        <v>12105.045</v>
      </c>
      <c r="R266" s="126">
        <f t="shared" si="41"/>
        <v>12513.199999999999</v>
      </c>
    </row>
    <row r="267" spans="2:22" ht="16.05" customHeight="1" collapsed="1">
      <c r="B267" s="652"/>
      <c r="C267" s="648"/>
      <c r="D267" s="134" t="s">
        <v>140</v>
      </c>
      <c r="E267" s="134"/>
      <c r="F267" s="134" t="s">
        <v>36</v>
      </c>
      <c r="G267" s="137">
        <f>G263+G264+G265+G266</f>
        <v>0</v>
      </c>
      <c r="H267" s="137">
        <f>H263+H264+H265+H266</f>
        <v>170.76499999999999</v>
      </c>
      <c r="I267" s="137">
        <f t="shared" ref="I267:Q267" si="42">I263+I264+I265+I266</f>
        <v>215.66</v>
      </c>
      <c r="J267" s="137">
        <f t="shared" si="42"/>
        <v>70.11</v>
      </c>
      <c r="K267" s="137">
        <f t="shared" si="42"/>
        <v>78.72</v>
      </c>
      <c r="L267" s="137">
        <f t="shared" si="42"/>
        <v>108.64999999999999</v>
      </c>
      <c r="M267" s="137">
        <f t="shared" si="42"/>
        <v>86.1</v>
      </c>
      <c r="N267" s="137">
        <f t="shared" si="42"/>
        <v>106.80499999999999</v>
      </c>
      <c r="O267" s="137">
        <f t="shared" si="42"/>
        <v>15253.64</v>
      </c>
      <c r="P267" s="137">
        <f t="shared" si="42"/>
        <v>17169.16</v>
      </c>
      <c r="Q267" s="137">
        <f t="shared" si="42"/>
        <v>12733.78</v>
      </c>
      <c r="R267" s="137">
        <f>R263+R264+R265+R266</f>
        <v>12880.764999999999</v>
      </c>
    </row>
    <row r="268" spans="2:22" ht="16.05" customHeight="1">
      <c r="B268" s="652"/>
      <c r="C268" s="648"/>
      <c r="D268" s="130" t="s">
        <v>132</v>
      </c>
      <c r="E268" s="130"/>
      <c r="F268" s="130" t="s">
        <v>36</v>
      </c>
      <c r="G268" s="131">
        <f>G259+G262+G267</f>
        <v>966641.625</v>
      </c>
      <c r="H268" s="131">
        <f t="shared" ref="H268:Q268" si="43">H259+H262+H267</f>
        <v>1025848.2899999999</v>
      </c>
      <c r="I268" s="131">
        <f t="shared" si="43"/>
        <v>889193.65</v>
      </c>
      <c r="J268" s="131">
        <f t="shared" si="43"/>
        <v>960611.13999999978</v>
      </c>
      <c r="K268" s="131">
        <f t="shared" si="43"/>
        <v>1041215.9099999999</v>
      </c>
      <c r="L268" s="131">
        <f t="shared" si="43"/>
        <v>842595.1</v>
      </c>
      <c r="M268" s="131">
        <f t="shared" si="43"/>
        <v>906542.3899999999</v>
      </c>
      <c r="N268" s="131">
        <f t="shared" si="43"/>
        <v>843131.58499999996</v>
      </c>
      <c r="O268" s="131">
        <f t="shared" si="43"/>
        <v>862315.07500000007</v>
      </c>
      <c r="P268" s="131">
        <f t="shared" si="43"/>
        <v>786017.97</v>
      </c>
      <c r="Q268" s="131">
        <f t="shared" si="43"/>
        <v>817680.42500000005</v>
      </c>
      <c r="R268" s="131">
        <f>R259+R262+R267</f>
        <v>508527.92</v>
      </c>
    </row>
    <row r="269" spans="2:22" ht="37.799999999999997" customHeight="1" thickBot="1">
      <c r="B269" s="653"/>
      <c r="C269" s="424" t="s">
        <v>959</v>
      </c>
      <c r="D269" s="412" t="s">
        <v>132</v>
      </c>
      <c r="E269" s="412"/>
      <c r="F269" s="412" t="s">
        <v>36</v>
      </c>
      <c r="G269" s="413">
        <f t="shared" ref="G269:R269" si="44">G268*G8/1000</f>
        <v>48.332081250000002</v>
      </c>
      <c r="H269" s="413">
        <f t="shared" si="44"/>
        <v>51.2924145</v>
      </c>
      <c r="I269" s="413">
        <f t="shared" si="44"/>
        <v>44.4596825</v>
      </c>
      <c r="J269" s="413">
        <f t="shared" si="44"/>
        <v>48.030556999999995</v>
      </c>
      <c r="K269" s="413">
        <f t="shared" si="44"/>
        <v>52.060795499999998</v>
      </c>
      <c r="L269" s="413">
        <f t="shared" si="44"/>
        <v>42.129755000000003</v>
      </c>
      <c r="M269" s="413">
        <f t="shared" si="44"/>
        <v>45.327119500000002</v>
      </c>
      <c r="N269" s="413">
        <f t="shared" si="44"/>
        <v>42.15657925</v>
      </c>
      <c r="O269" s="413">
        <f t="shared" si="44"/>
        <v>43.115753750000003</v>
      </c>
      <c r="P269" s="413">
        <f t="shared" si="44"/>
        <v>39.300898500000002</v>
      </c>
      <c r="Q269" s="413">
        <f t="shared" si="44"/>
        <v>40.884021250000004</v>
      </c>
      <c r="R269" s="413">
        <f t="shared" si="44"/>
        <v>25.426396</v>
      </c>
    </row>
    <row r="270" spans="2:22" ht="16.05" hidden="1" customHeight="1" outlineLevel="1">
      <c r="B270" s="655" t="s">
        <v>963</v>
      </c>
      <c r="C270" s="635" t="s">
        <v>73</v>
      </c>
      <c r="D270" s="414" t="s">
        <v>74</v>
      </c>
      <c r="E270" s="414">
        <v>105</v>
      </c>
      <c r="F270" s="414" t="s">
        <v>75</v>
      </c>
      <c r="G270" s="415">
        <v>809000</v>
      </c>
      <c r="H270" s="415">
        <v>880000</v>
      </c>
      <c r="I270" s="415">
        <v>675000</v>
      </c>
      <c r="J270" s="415">
        <v>744800</v>
      </c>
      <c r="K270" s="415">
        <v>888000</v>
      </c>
      <c r="L270" s="415">
        <v>653000</v>
      </c>
      <c r="M270" s="415">
        <v>770500</v>
      </c>
      <c r="N270" s="415">
        <v>994000</v>
      </c>
      <c r="O270" s="415">
        <v>882279.00000000012</v>
      </c>
      <c r="P270" s="415">
        <v>867000</v>
      </c>
      <c r="Q270" s="415">
        <v>941000</v>
      </c>
      <c r="R270" s="119">
        <v>777000</v>
      </c>
    </row>
    <row r="271" spans="2:22" ht="16.05" hidden="1" customHeight="1" outlineLevel="1">
      <c r="B271" s="656"/>
      <c r="C271" s="635"/>
      <c r="D271" s="118" t="s">
        <v>74</v>
      </c>
      <c r="E271" s="118">
        <v>102</v>
      </c>
      <c r="F271" s="118" t="s">
        <v>76</v>
      </c>
      <c r="G271" s="253">
        <v>809000</v>
      </c>
      <c r="H271" s="253">
        <v>880000</v>
      </c>
      <c r="I271" s="253">
        <v>675000</v>
      </c>
      <c r="J271" s="253">
        <v>744800</v>
      </c>
      <c r="K271" s="253">
        <v>905000</v>
      </c>
      <c r="L271" s="253">
        <v>678000</v>
      </c>
      <c r="M271" s="253">
        <v>746500</v>
      </c>
      <c r="N271" s="253">
        <v>1008000</v>
      </c>
      <c r="O271" s="253">
        <v>941097.60000000009</v>
      </c>
      <c r="P271" s="253">
        <v>924800.00000000012</v>
      </c>
      <c r="Q271" s="253">
        <v>992000</v>
      </c>
      <c r="R271" s="119">
        <v>828800.00000000012</v>
      </c>
      <c r="U271" s="34"/>
      <c r="V271" s="34"/>
    </row>
    <row r="272" spans="2:22" ht="16.05" hidden="1" customHeight="1" outlineLevel="1">
      <c r="B272" s="656"/>
      <c r="C272" s="635"/>
      <c r="D272" s="118" t="s">
        <v>74</v>
      </c>
      <c r="E272" s="118">
        <v>706</v>
      </c>
      <c r="F272" s="118" t="s">
        <v>77</v>
      </c>
      <c r="G272" s="253">
        <v>795000</v>
      </c>
      <c r="H272" s="253">
        <v>815000</v>
      </c>
      <c r="I272" s="253">
        <v>633000</v>
      </c>
      <c r="J272" s="253">
        <v>633000</v>
      </c>
      <c r="K272" s="253">
        <v>739000</v>
      </c>
      <c r="L272" s="253">
        <v>617500</v>
      </c>
      <c r="M272" s="253">
        <v>634500</v>
      </c>
      <c r="N272" s="253">
        <v>658000</v>
      </c>
      <c r="O272" s="253">
        <v>730346.99999999977</v>
      </c>
      <c r="P272" s="253">
        <v>658000</v>
      </c>
      <c r="Q272" s="253">
        <v>629000</v>
      </c>
      <c r="R272" s="119">
        <v>612000</v>
      </c>
    </row>
    <row r="273" spans="2:22" ht="16.05" hidden="1" customHeight="1" outlineLevel="1">
      <c r="B273" s="656"/>
      <c r="C273" s="635"/>
      <c r="D273" s="118" t="s">
        <v>74</v>
      </c>
      <c r="E273" s="118">
        <v>703</v>
      </c>
      <c r="F273" s="118" t="s">
        <v>78</v>
      </c>
      <c r="G273" s="253">
        <v>360000</v>
      </c>
      <c r="H273" s="253">
        <v>631000</v>
      </c>
      <c r="I273" s="253">
        <v>561000</v>
      </c>
      <c r="J273" s="253">
        <v>742000</v>
      </c>
      <c r="K273" s="253">
        <v>900000</v>
      </c>
      <c r="L273" s="253">
        <v>636000</v>
      </c>
      <c r="M273" s="253">
        <v>677000</v>
      </c>
      <c r="N273" s="253">
        <v>630000</v>
      </c>
      <c r="O273" s="253">
        <v>644739</v>
      </c>
      <c r="P273" s="253">
        <v>651000</v>
      </c>
      <c r="Q273" s="253">
        <v>463000</v>
      </c>
      <c r="R273" s="119">
        <v>539000</v>
      </c>
      <c r="V273" s="385"/>
    </row>
    <row r="274" spans="2:22" ht="16.05" hidden="1" customHeight="1" outlineLevel="1">
      <c r="B274" s="656"/>
      <c r="C274" s="635"/>
      <c r="D274" s="118" t="s">
        <v>74</v>
      </c>
      <c r="E274" s="118">
        <v>605</v>
      </c>
      <c r="F274" s="118" t="s">
        <v>79</v>
      </c>
      <c r="G274" s="253">
        <v>289000</v>
      </c>
      <c r="H274" s="253">
        <v>343000</v>
      </c>
      <c r="I274" s="253">
        <v>271000</v>
      </c>
      <c r="J274" s="253">
        <v>293000</v>
      </c>
      <c r="K274" s="253">
        <v>351000</v>
      </c>
      <c r="L274" s="253">
        <v>314000</v>
      </c>
      <c r="M274" s="253">
        <v>301000</v>
      </c>
      <c r="N274" s="253">
        <v>342100</v>
      </c>
      <c r="O274" s="253">
        <v>291827</v>
      </c>
      <c r="P274" s="253">
        <v>243000</v>
      </c>
      <c r="Q274" s="253">
        <v>325000</v>
      </c>
      <c r="R274" s="119">
        <v>320000</v>
      </c>
    </row>
    <row r="275" spans="2:22" ht="16.05" hidden="1" customHeight="1" outlineLevel="1">
      <c r="B275" s="656"/>
      <c r="C275" s="635"/>
      <c r="D275" s="118" t="s">
        <v>74</v>
      </c>
      <c r="E275" s="118">
        <v>607</v>
      </c>
      <c r="F275" s="118" t="s">
        <v>80</v>
      </c>
      <c r="G275" s="253"/>
      <c r="H275" s="253"/>
      <c r="I275" s="253"/>
      <c r="J275" s="253"/>
      <c r="K275" s="253"/>
      <c r="L275" s="253"/>
      <c r="M275" s="253"/>
      <c r="N275" s="253"/>
      <c r="O275" s="253">
        <v>362231</v>
      </c>
      <c r="P275" s="253">
        <v>330000</v>
      </c>
      <c r="Q275" s="253"/>
      <c r="R275" s="119">
        <v>281000</v>
      </c>
    </row>
    <row r="276" spans="2:22" ht="16.05" hidden="1" customHeight="1" outlineLevel="1">
      <c r="B276" s="656"/>
      <c r="C276" s="635"/>
      <c r="D276" s="118" t="s">
        <v>74</v>
      </c>
      <c r="E276" s="118" t="s">
        <v>947</v>
      </c>
      <c r="F276" s="118" t="s">
        <v>82</v>
      </c>
      <c r="G276" s="253"/>
      <c r="H276" s="253"/>
      <c r="I276" s="253"/>
      <c r="J276" s="253"/>
      <c r="K276" s="253"/>
      <c r="L276" s="253"/>
      <c r="M276" s="253"/>
      <c r="N276" s="253"/>
      <c r="O276" s="253">
        <v>0</v>
      </c>
      <c r="P276" s="253">
        <v>0</v>
      </c>
      <c r="Q276" s="253"/>
      <c r="R276" s="119">
        <v>254000</v>
      </c>
    </row>
    <row r="277" spans="2:22" ht="16.05" hidden="1" customHeight="1" outlineLevel="1">
      <c r="B277" s="656"/>
      <c r="C277" s="635"/>
      <c r="D277" s="118" t="s">
        <v>74</v>
      </c>
      <c r="E277" s="118">
        <v>603</v>
      </c>
      <c r="F277" s="118" t="s">
        <v>83</v>
      </c>
      <c r="G277" s="253">
        <v>350000</v>
      </c>
      <c r="H277" s="253">
        <v>369000</v>
      </c>
      <c r="I277" s="253">
        <v>326000</v>
      </c>
      <c r="J277" s="253">
        <v>424000</v>
      </c>
      <c r="K277" s="253">
        <v>565000</v>
      </c>
      <c r="L277" s="253">
        <v>389000</v>
      </c>
      <c r="M277" s="253">
        <v>409000</v>
      </c>
      <c r="N277" s="253">
        <v>458970</v>
      </c>
      <c r="O277" s="253">
        <v>0</v>
      </c>
      <c r="P277" s="253">
        <v>0</v>
      </c>
      <c r="Q277" s="253">
        <v>346000</v>
      </c>
      <c r="R277" s="119">
        <v>159000</v>
      </c>
    </row>
    <row r="278" spans="2:22" ht="16.05" hidden="1" customHeight="1" outlineLevel="1">
      <c r="B278" s="656"/>
      <c r="C278" s="635"/>
      <c r="D278" s="118" t="s">
        <v>74</v>
      </c>
      <c r="E278" s="118">
        <v>707</v>
      </c>
      <c r="F278" s="118" t="s">
        <v>85</v>
      </c>
      <c r="G278" s="253">
        <v>489000</v>
      </c>
      <c r="H278" s="253">
        <v>705000</v>
      </c>
      <c r="I278" s="253">
        <v>719000</v>
      </c>
      <c r="J278" s="253">
        <v>670000</v>
      </c>
      <c r="K278" s="253">
        <v>770000</v>
      </c>
      <c r="L278" s="253">
        <v>585000</v>
      </c>
      <c r="M278" s="253">
        <v>683000</v>
      </c>
      <c r="N278" s="253">
        <v>682000</v>
      </c>
      <c r="O278" s="253">
        <v>635619.99999999988</v>
      </c>
      <c r="P278" s="253">
        <v>529000</v>
      </c>
      <c r="Q278" s="253">
        <v>646000</v>
      </c>
      <c r="R278" s="119">
        <v>576000</v>
      </c>
    </row>
    <row r="279" spans="2:22" ht="16.05" customHeight="1" collapsed="1">
      <c r="B279" s="656"/>
      <c r="C279" s="635"/>
      <c r="D279" s="133" t="s">
        <v>74</v>
      </c>
      <c r="E279" s="133"/>
      <c r="F279" s="133" t="s">
        <v>36</v>
      </c>
      <c r="G279" s="136">
        <f t="shared" ref="G279:R279" si="45">SUM(G270:G278)</f>
        <v>3901000</v>
      </c>
      <c r="H279" s="136">
        <f t="shared" si="45"/>
        <v>4623000</v>
      </c>
      <c r="I279" s="136">
        <f t="shared" si="45"/>
        <v>3860000</v>
      </c>
      <c r="J279" s="136">
        <f t="shared" si="45"/>
        <v>4251600</v>
      </c>
      <c r="K279" s="136">
        <f t="shared" si="45"/>
        <v>5118000</v>
      </c>
      <c r="L279" s="136">
        <f t="shared" si="45"/>
        <v>3872500</v>
      </c>
      <c r="M279" s="136">
        <f t="shared" si="45"/>
        <v>4221500</v>
      </c>
      <c r="N279" s="136">
        <f t="shared" si="45"/>
        <v>4773070</v>
      </c>
      <c r="O279" s="136">
        <f t="shared" si="45"/>
        <v>4488140.5999999996</v>
      </c>
      <c r="P279" s="136">
        <f t="shared" si="45"/>
        <v>4202800</v>
      </c>
      <c r="Q279" s="136">
        <f t="shared" si="45"/>
        <v>4342000</v>
      </c>
      <c r="R279" s="136">
        <f t="shared" si="45"/>
        <v>4346800</v>
      </c>
      <c r="T279" s="158"/>
    </row>
    <row r="280" spans="2:22" ht="16.05" hidden="1" customHeight="1" outlineLevel="1">
      <c r="B280" s="656"/>
      <c r="C280" s="635"/>
      <c r="D280" s="140" t="s">
        <v>129</v>
      </c>
      <c r="E280" s="140">
        <v>704</v>
      </c>
      <c r="F280" s="140" t="s">
        <v>130</v>
      </c>
      <c r="G280" s="256"/>
      <c r="H280" s="256"/>
      <c r="I280" s="256"/>
      <c r="J280" s="256"/>
      <c r="K280" s="256"/>
      <c r="L280" s="256"/>
      <c r="M280" s="256"/>
      <c r="N280" s="256"/>
      <c r="O280" s="256">
        <v>0</v>
      </c>
      <c r="P280" s="256">
        <v>0</v>
      </c>
      <c r="Q280" s="256"/>
      <c r="R280" s="144">
        <v>360000</v>
      </c>
      <c r="T280" s="158"/>
    </row>
    <row r="281" spans="2:22" ht="16.05" hidden="1" customHeight="1" outlineLevel="1">
      <c r="B281" s="656"/>
      <c r="C281" s="635"/>
      <c r="D281" s="140" t="s">
        <v>129</v>
      </c>
      <c r="E281" s="140">
        <v>608</v>
      </c>
      <c r="F281" s="140" t="s">
        <v>131</v>
      </c>
      <c r="G281" s="256"/>
      <c r="H281" s="256"/>
      <c r="I281" s="256"/>
      <c r="J281" s="256"/>
      <c r="K281" s="256"/>
      <c r="L281" s="256"/>
      <c r="M281" s="256"/>
      <c r="N281" s="256"/>
      <c r="O281" s="256">
        <v>0</v>
      </c>
      <c r="P281" s="256">
        <v>0</v>
      </c>
      <c r="Q281" s="256"/>
      <c r="R281" s="144">
        <v>76000</v>
      </c>
      <c r="T281" s="158"/>
    </row>
    <row r="282" spans="2:22" ht="16.05" customHeight="1" collapsed="1">
      <c r="B282" s="656"/>
      <c r="C282" s="635"/>
      <c r="D282" s="382" t="s">
        <v>129</v>
      </c>
      <c r="E282" s="382"/>
      <c r="F282" s="382" t="s">
        <v>36</v>
      </c>
      <c r="G282" s="136">
        <f>SUM(G280:G281)</f>
        <v>0</v>
      </c>
      <c r="H282" s="136">
        <f t="shared" ref="H282:R282" si="46">SUM(H280:H281)</f>
        <v>0</v>
      </c>
      <c r="I282" s="136">
        <f t="shared" si="46"/>
        <v>0</v>
      </c>
      <c r="J282" s="136">
        <f t="shared" si="46"/>
        <v>0</v>
      </c>
      <c r="K282" s="136">
        <f t="shared" si="46"/>
        <v>0</v>
      </c>
      <c r="L282" s="136">
        <f t="shared" si="46"/>
        <v>0</v>
      </c>
      <c r="M282" s="136">
        <f t="shared" si="46"/>
        <v>0</v>
      </c>
      <c r="N282" s="136">
        <f t="shared" si="46"/>
        <v>0</v>
      </c>
      <c r="O282" s="136">
        <v>0</v>
      </c>
      <c r="P282" s="136">
        <f t="shared" si="46"/>
        <v>0</v>
      </c>
      <c r="Q282" s="136">
        <f t="shared" si="46"/>
        <v>0</v>
      </c>
      <c r="R282" s="136">
        <f t="shared" si="46"/>
        <v>436000</v>
      </c>
      <c r="T282" s="158"/>
    </row>
    <row r="283" spans="2:22" ht="16.05" hidden="1" customHeight="1" outlineLevel="1">
      <c r="B283" s="656"/>
      <c r="C283" s="635"/>
      <c r="D283" s="121" t="s">
        <v>90</v>
      </c>
      <c r="E283" s="121" t="s">
        <v>141</v>
      </c>
      <c r="F283" s="121" t="s">
        <v>142</v>
      </c>
      <c r="G283" s="254">
        <v>762000</v>
      </c>
      <c r="H283" s="254">
        <v>1019000</v>
      </c>
      <c r="I283" s="254">
        <v>714000</v>
      </c>
      <c r="J283" s="254">
        <v>877000</v>
      </c>
      <c r="K283" s="254">
        <v>884000</v>
      </c>
      <c r="L283" s="254">
        <v>464000</v>
      </c>
      <c r="M283" s="254">
        <v>415000</v>
      </c>
      <c r="N283" s="254">
        <v>418000</v>
      </c>
      <c r="O283" s="257">
        <v>378144.00000000023</v>
      </c>
      <c r="P283" s="257">
        <v>175000</v>
      </c>
      <c r="Q283" s="257">
        <f>56000+27000</f>
        <v>83000</v>
      </c>
      <c r="R283" s="119">
        <v>92000</v>
      </c>
    </row>
    <row r="284" spans="2:22" ht="16.05" hidden="1" customHeight="1" outlineLevel="1">
      <c r="B284" s="656"/>
      <c r="C284" s="635"/>
      <c r="D284" s="121" t="s">
        <v>90</v>
      </c>
      <c r="E284" s="121">
        <v>301</v>
      </c>
      <c r="F284" s="121" t="s">
        <v>92</v>
      </c>
      <c r="G284" s="254">
        <v>87000</v>
      </c>
      <c r="H284" s="254">
        <v>95000</v>
      </c>
      <c r="I284" s="254">
        <v>45000</v>
      </c>
      <c r="J284" s="254">
        <v>92000</v>
      </c>
      <c r="K284" s="254">
        <v>116000</v>
      </c>
      <c r="L284" s="254">
        <v>71000</v>
      </c>
      <c r="M284" s="254">
        <v>85000</v>
      </c>
      <c r="N284" s="254">
        <v>67000</v>
      </c>
      <c r="O284" s="257">
        <v>81436</v>
      </c>
      <c r="P284" s="257">
        <v>63000</v>
      </c>
      <c r="Q284" s="257">
        <v>54000</v>
      </c>
      <c r="R284" s="119">
        <v>37000</v>
      </c>
    </row>
    <row r="285" spans="2:22" ht="16.05" hidden="1" customHeight="1" outlineLevel="1">
      <c r="B285" s="656"/>
      <c r="C285" s="635"/>
      <c r="D285" s="121" t="s">
        <v>90</v>
      </c>
      <c r="E285" s="121">
        <v>402</v>
      </c>
      <c r="F285" s="121" t="s">
        <v>93</v>
      </c>
      <c r="G285" s="254">
        <v>116000</v>
      </c>
      <c r="H285" s="254">
        <v>112000</v>
      </c>
      <c r="I285" s="254">
        <v>76000</v>
      </c>
      <c r="J285" s="254">
        <v>115000</v>
      </c>
      <c r="K285" s="254">
        <v>127000</v>
      </c>
      <c r="L285" s="254">
        <v>78000</v>
      </c>
      <c r="M285" s="254">
        <v>86000</v>
      </c>
      <c r="N285" s="254">
        <v>72530</v>
      </c>
      <c r="O285" s="257">
        <v>54090</v>
      </c>
      <c r="P285" s="257">
        <v>37000</v>
      </c>
      <c r="Q285" s="257">
        <v>36000</v>
      </c>
      <c r="R285" s="119">
        <v>45000</v>
      </c>
    </row>
    <row r="286" spans="2:22" ht="16.05" hidden="1" customHeight="1" outlineLevel="1">
      <c r="B286" s="656"/>
      <c r="C286" s="635"/>
      <c r="D286" s="121" t="s">
        <v>90</v>
      </c>
      <c r="E286" s="121">
        <v>503</v>
      </c>
      <c r="F286" s="121" t="s">
        <v>94</v>
      </c>
      <c r="G286" s="254">
        <v>83000</v>
      </c>
      <c r="H286" s="254">
        <v>145000</v>
      </c>
      <c r="I286" s="254">
        <v>97000</v>
      </c>
      <c r="J286" s="254">
        <v>130000</v>
      </c>
      <c r="K286" s="254">
        <v>126000</v>
      </c>
      <c r="L286" s="254">
        <v>76000</v>
      </c>
      <c r="M286" s="254">
        <v>90000</v>
      </c>
      <c r="N286" s="254">
        <v>53000</v>
      </c>
      <c r="O286" s="257">
        <v>49003.999999999905</v>
      </c>
      <c r="P286" s="257">
        <v>49000</v>
      </c>
      <c r="Q286" s="257">
        <v>49000</v>
      </c>
      <c r="R286" s="119">
        <v>13000</v>
      </c>
    </row>
    <row r="287" spans="2:22" ht="16.05" customHeight="1" collapsed="1">
      <c r="B287" s="656"/>
      <c r="C287" s="635"/>
      <c r="D287" s="138" t="s">
        <v>90</v>
      </c>
      <c r="E287" s="138"/>
      <c r="F287" s="138" t="s">
        <v>95</v>
      </c>
      <c r="G287" s="139">
        <f t="shared" ref="G287:R287" si="47">SUM(G283:G286)</f>
        <v>1048000</v>
      </c>
      <c r="H287" s="139">
        <f t="shared" si="47"/>
        <v>1371000</v>
      </c>
      <c r="I287" s="139">
        <f t="shared" si="47"/>
        <v>932000</v>
      </c>
      <c r="J287" s="139">
        <f t="shared" si="47"/>
        <v>1214000</v>
      </c>
      <c r="K287" s="139">
        <f t="shared" si="47"/>
        <v>1253000</v>
      </c>
      <c r="L287" s="139">
        <f t="shared" si="47"/>
        <v>689000</v>
      </c>
      <c r="M287" s="139">
        <f t="shared" si="47"/>
        <v>676000</v>
      </c>
      <c r="N287" s="139">
        <f t="shared" si="47"/>
        <v>610530</v>
      </c>
      <c r="O287" s="139">
        <f t="shared" si="47"/>
        <v>562674.00000000012</v>
      </c>
      <c r="P287" s="144">
        <f t="shared" si="47"/>
        <v>324000</v>
      </c>
      <c r="Q287" s="144">
        <f t="shared" si="47"/>
        <v>222000</v>
      </c>
      <c r="R287" s="144">
        <f t="shared" si="47"/>
        <v>187000</v>
      </c>
    </row>
    <row r="288" spans="2:22" ht="16.05" hidden="1" customHeight="1" outlineLevel="1">
      <c r="B288" s="656"/>
      <c r="C288" s="635"/>
      <c r="D288" s="140" t="s">
        <v>96</v>
      </c>
      <c r="E288" s="140" t="s">
        <v>143</v>
      </c>
      <c r="F288" s="140" t="s">
        <v>144</v>
      </c>
      <c r="G288" s="255">
        <v>2060000</v>
      </c>
      <c r="H288" s="255">
        <v>2240000</v>
      </c>
      <c r="I288" s="255">
        <v>1719000</v>
      </c>
      <c r="J288" s="255">
        <v>1589400</v>
      </c>
      <c r="K288" s="255">
        <v>1902000</v>
      </c>
      <c r="L288" s="255">
        <v>1194000</v>
      </c>
      <c r="M288" s="255">
        <v>1211000</v>
      </c>
      <c r="N288" s="255">
        <v>1379000</v>
      </c>
      <c r="O288" s="255">
        <v>1117553.3999999999</v>
      </c>
      <c r="P288" s="255">
        <v>1098200</v>
      </c>
      <c r="Q288" s="255">
        <v>940000</v>
      </c>
      <c r="R288" s="255">
        <v>984200</v>
      </c>
    </row>
    <row r="289" spans="2:18" ht="16.05" hidden="1" customHeight="1" outlineLevel="1">
      <c r="B289" s="656"/>
      <c r="C289" s="635"/>
      <c r="D289" s="140" t="s">
        <v>96</v>
      </c>
      <c r="E289" s="140">
        <v>307</v>
      </c>
      <c r="F289" s="140" t="s">
        <v>100</v>
      </c>
      <c r="G289" s="255">
        <v>400000</v>
      </c>
      <c r="H289" s="255">
        <v>386000</v>
      </c>
      <c r="I289" s="255">
        <v>329000</v>
      </c>
      <c r="J289" s="255">
        <v>388000</v>
      </c>
      <c r="K289" s="255">
        <v>378000</v>
      </c>
      <c r="L289" s="255">
        <v>317000</v>
      </c>
      <c r="M289" s="255">
        <v>365000</v>
      </c>
      <c r="N289" s="255">
        <v>320000</v>
      </c>
      <c r="O289" s="255">
        <v>266242.00000000017</v>
      </c>
      <c r="P289" s="255">
        <v>245000</v>
      </c>
      <c r="Q289" s="255">
        <v>232000</v>
      </c>
      <c r="R289" s="141">
        <v>220000</v>
      </c>
    </row>
    <row r="290" spans="2:18" ht="16.05" hidden="1" customHeight="1" outlineLevel="1">
      <c r="B290" s="656"/>
      <c r="C290" s="635"/>
      <c r="D290" s="140" t="s">
        <v>96</v>
      </c>
      <c r="E290" s="140">
        <v>304</v>
      </c>
      <c r="F290" s="140" t="s">
        <v>101</v>
      </c>
      <c r="G290" s="255">
        <v>395000</v>
      </c>
      <c r="H290" s="255">
        <v>471000</v>
      </c>
      <c r="I290" s="255">
        <v>352000</v>
      </c>
      <c r="J290" s="255">
        <v>427000</v>
      </c>
      <c r="K290" s="255">
        <v>410000</v>
      </c>
      <c r="L290" s="255">
        <v>314000</v>
      </c>
      <c r="M290" s="255">
        <v>377000</v>
      </c>
      <c r="N290" s="255">
        <v>401270</v>
      </c>
      <c r="O290" s="255">
        <v>362216</v>
      </c>
      <c r="P290" s="255">
        <v>278000</v>
      </c>
      <c r="Q290" s="255">
        <v>229000</v>
      </c>
      <c r="R290" s="141">
        <v>184000</v>
      </c>
    </row>
    <row r="291" spans="2:18" ht="16.05" hidden="1" customHeight="1" outlineLevel="1">
      <c r="B291" s="656"/>
      <c r="C291" s="635"/>
      <c r="D291" s="140" t="s">
        <v>96</v>
      </c>
      <c r="E291" s="140">
        <v>306</v>
      </c>
      <c r="F291" s="140" t="s">
        <v>102</v>
      </c>
      <c r="G291" s="255">
        <v>360000</v>
      </c>
      <c r="H291" s="255">
        <v>467000</v>
      </c>
      <c r="I291" s="255">
        <v>398000</v>
      </c>
      <c r="J291" s="255">
        <v>617000</v>
      </c>
      <c r="K291" s="255">
        <v>614000</v>
      </c>
      <c r="L291" s="255">
        <v>473000</v>
      </c>
      <c r="M291" s="255">
        <v>503000</v>
      </c>
      <c r="N291" s="255">
        <v>400320.00000000006</v>
      </c>
      <c r="O291" s="255">
        <v>259971</v>
      </c>
      <c r="P291" s="255">
        <v>397000</v>
      </c>
      <c r="Q291" s="255">
        <v>468000</v>
      </c>
      <c r="R291" s="141">
        <v>396000</v>
      </c>
    </row>
    <row r="292" spans="2:18" ht="16.05" hidden="1" customHeight="1" outlineLevel="1">
      <c r="B292" s="656"/>
      <c r="C292" s="635"/>
      <c r="D292" s="140" t="s">
        <v>96</v>
      </c>
      <c r="E292" s="140">
        <v>303</v>
      </c>
      <c r="F292" s="140" t="s">
        <v>103</v>
      </c>
      <c r="G292" s="255">
        <v>131000</v>
      </c>
      <c r="H292" s="255">
        <v>163000</v>
      </c>
      <c r="I292" s="255">
        <v>140000</v>
      </c>
      <c r="J292" s="255">
        <v>180000</v>
      </c>
      <c r="K292" s="255">
        <v>199000</v>
      </c>
      <c r="L292" s="255">
        <v>149000</v>
      </c>
      <c r="M292" s="255">
        <v>241000</v>
      </c>
      <c r="N292" s="255">
        <v>337470</v>
      </c>
      <c r="O292" s="255">
        <v>254146.00000000003</v>
      </c>
      <c r="P292" s="255">
        <v>209000</v>
      </c>
      <c r="Q292" s="255">
        <v>207000</v>
      </c>
      <c r="R292" s="141">
        <v>185000</v>
      </c>
    </row>
    <row r="293" spans="2:18" ht="16.05" hidden="1" customHeight="1" outlineLevel="1">
      <c r="B293" s="656"/>
      <c r="C293" s="635"/>
      <c r="D293" s="140" t="s">
        <v>96</v>
      </c>
      <c r="E293" s="140">
        <v>302</v>
      </c>
      <c r="F293" s="140" t="s">
        <v>104</v>
      </c>
      <c r="G293" s="255">
        <v>1453000</v>
      </c>
      <c r="H293" s="255">
        <v>1826000</v>
      </c>
      <c r="I293" s="255">
        <v>1285000</v>
      </c>
      <c r="J293" s="255">
        <v>1579000</v>
      </c>
      <c r="K293" s="255">
        <v>1594000</v>
      </c>
      <c r="L293" s="255">
        <v>1133000</v>
      </c>
      <c r="M293" s="255">
        <v>1228000</v>
      </c>
      <c r="N293" s="255">
        <v>956889.99999999988</v>
      </c>
      <c r="O293" s="255">
        <v>772875.6</v>
      </c>
      <c r="P293" s="255">
        <v>773800.00000000012</v>
      </c>
      <c r="Q293" s="255">
        <v>930000</v>
      </c>
      <c r="R293" s="141">
        <v>783360.00000000012</v>
      </c>
    </row>
    <row r="294" spans="2:18" ht="16.05" hidden="1" customHeight="1" outlineLevel="1">
      <c r="B294" s="656"/>
      <c r="C294" s="635"/>
      <c r="D294" s="140" t="s">
        <v>96</v>
      </c>
      <c r="E294" s="140">
        <v>321</v>
      </c>
      <c r="F294" s="140" t="s">
        <v>87</v>
      </c>
      <c r="G294" s="255"/>
      <c r="H294" s="255"/>
      <c r="I294" s="255"/>
      <c r="J294" s="255"/>
      <c r="K294" s="255"/>
      <c r="L294" s="255"/>
      <c r="M294" s="255"/>
      <c r="N294" s="255"/>
      <c r="O294" s="255">
        <v>196458.18</v>
      </c>
      <c r="P294" s="255">
        <v>186300</v>
      </c>
      <c r="Q294" s="255"/>
      <c r="R294" s="141">
        <v>149040.00000000003</v>
      </c>
    </row>
    <row r="295" spans="2:18" ht="16.05" hidden="1" customHeight="1" outlineLevel="1">
      <c r="B295" s="656"/>
      <c r="C295" s="635"/>
      <c r="D295" s="140" t="s">
        <v>96</v>
      </c>
      <c r="E295" s="140">
        <v>401</v>
      </c>
      <c r="F295" s="140" t="s">
        <v>105</v>
      </c>
      <c r="G295" s="255">
        <v>616000</v>
      </c>
      <c r="H295" s="255">
        <v>711000</v>
      </c>
      <c r="I295" s="255">
        <v>462000</v>
      </c>
      <c r="J295" s="255">
        <v>532000</v>
      </c>
      <c r="K295" s="255">
        <v>624000</v>
      </c>
      <c r="L295" s="255">
        <v>429000</v>
      </c>
      <c r="M295" s="255">
        <v>494000</v>
      </c>
      <c r="N295" s="255">
        <v>499069.99999999994</v>
      </c>
      <c r="O295" s="255">
        <v>543885</v>
      </c>
      <c r="P295" s="255">
        <v>504000</v>
      </c>
      <c r="Q295" s="255">
        <v>509000</v>
      </c>
      <c r="R295" s="141">
        <v>295000</v>
      </c>
    </row>
    <row r="296" spans="2:18" ht="16.05" hidden="1" customHeight="1" outlineLevel="1">
      <c r="B296" s="656"/>
      <c r="C296" s="635"/>
      <c r="D296" s="140" t="s">
        <v>96</v>
      </c>
      <c r="E296" s="140">
        <v>403</v>
      </c>
      <c r="F296" s="140" t="s">
        <v>106</v>
      </c>
      <c r="G296" s="255">
        <v>812000</v>
      </c>
      <c r="H296" s="255">
        <v>892000</v>
      </c>
      <c r="I296" s="255">
        <v>677000</v>
      </c>
      <c r="J296" s="255">
        <v>766000</v>
      </c>
      <c r="K296" s="255">
        <v>945000</v>
      </c>
      <c r="L296" s="255">
        <v>665000</v>
      </c>
      <c r="M296" s="255">
        <v>791000</v>
      </c>
      <c r="N296" s="255">
        <v>772500</v>
      </c>
      <c r="O296" s="255">
        <v>763226</v>
      </c>
      <c r="P296" s="255">
        <v>549000</v>
      </c>
      <c r="Q296" s="255">
        <v>482000</v>
      </c>
      <c r="R296" s="383">
        <v>645000</v>
      </c>
    </row>
    <row r="297" spans="2:18" ht="16.05" hidden="1" customHeight="1" outlineLevel="1">
      <c r="B297" s="656"/>
      <c r="C297" s="635"/>
      <c r="D297" s="140" t="s">
        <v>96</v>
      </c>
      <c r="E297" s="140">
        <v>404</v>
      </c>
      <c r="F297" s="140" t="s">
        <v>107</v>
      </c>
      <c r="G297" s="255">
        <v>610000</v>
      </c>
      <c r="H297" s="255">
        <v>679000</v>
      </c>
      <c r="I297" s="255">
        <v>505000</v>
      </c>
      <c r="J297" s="255">
        <v>560000</v>
      </c>
      <c r="K297" s="255">
        <v>551000</v>
      </c>
      <c r="L297" s="255">
        <v>393000</v>
      </c>
      <c r="M297" s="255">
        <v>494000</v>
      </c>
      <c r="N297" s="255">
        <v>528430.00000000012</v>
      </c>
      <c r="O297" s="255">
        <v>575817</v>
      </c>
      <c r="P297" s="255">
        <v>446000</v>
      </c>
      <c r="Q297" s="255">
        <v>349000</v>
      </c>
      <c r="R297" s="141">
        <v>313000</v>
      </c>
    </row>
    <row r="298" spans="2:18" ht="16.05" hidden="1" customHeight="1" outlineLevel="1">
      <c r="B298" s="656"/>
      <c r="C298" s="635"/>
      <c r="D298" s="140" t="s">
        <v>96</v>
      </c>
      <c r="E298" s="140">
        <v>601</v>
      </c>
      <c r="F298" s="140" t="s">
        <v>109</v>
      </c>
      <c r="G298" s="255">
        <v>535000</v>
      </c>
      <c r="H298" s="255">
        <v>581000</v>
      </c>
      <c r="I298" s="255">
        <v>436000</v>
      </c>
      <c r="J298" s="255">
        <v>447000</v>
      </c>
      <c r="K298" s="255">
        <v>452000</v>
      </c>
      <c r="L298" s="255">
        <v>361000</v>
      </c>
      <c r="M298" s="255">
        <v>428000</v>
      </c>
      <c r="N298" s="255">
        <v>474620</v>
      </c>
      <c r="O298" s="255">
        <v>459018</v>
      </c>
      <c r="P298" s="255">
        <v>434000</v>
      </c>
      <c r="Q298" s="255">
        <v>409000</v>
      </c>
      <c r="R298" s="141">
        <v>349000</v>
      </c>
    </row>
    <row r="299" spans="2:18" ht="16.05" hidden="1" customHeight="1" outlineLevel="1">
      <c r="B299" s="656"/>
      <c r="C299" s="635"/>
      <c r="D299" s="140" t="s">
        <v>96</v>
      </c>
      <c r="E299" s="140">
        <v>405</v>
      </c>
      <c r="F299" s="140" t="s">
        <v>110</v>
      </c>
      <c r="G299" s="255">
        <v>462000</v>
      </c>
      <c r="H299" s="255">
        <v>482000</v>
      </c>
      <c r="I299" s="255">
        <v>343000</v>
      </c>
      <c r="J299" s="255">
        <v>381000</v>
      </c>
      <c r="K299" s="255">
        <v>456000</v>
      </c>
      <c r="L299" s="255">
        <v>303000</v>
      </c>
      <c r="M299" s="255">
        <v>369000</v>
      </c>
      <c r="N299" s="255">
        <v>307429.99999999994</v>
      </c>
      <c r="O299" s="255">
        <v>382755</v>
      </c>
      <c r="P299" s="255">
        <v>279000</v>
      </c>
      <c r="Q299" s="255">
        <v>321000</v>
      </c>
      <c r="R299" s="141">
        <v>270000</v>
      </c>
    </row>
    <row r="300" spans="2:18" ht="16.05" hidden="1" customHeight="1" outlineLevel="1">
      <c r="B300" s="656"/>
      <c r="C300" s="635"/>
      <c r="D300" s="140" t="s">
        <v>96</v>
      </c>
      <c r="E300" s="140">
        <v>501</v>
      </c>
      <c r="F300" s="140" t="s">
        <v>111</v>
      </c>
      <c r="G300" s="255">
        <v>733000</v>
      </c>
      <c r="H300" s="255">
        <v>855000</v>
      </c>
      <c r="I300" s="255">
        <v>550000</v>
      </c>
      <c r="J300" s="255">
        <v>634000</v>
      </c>
      <c r="K300" s="255">
        <v>660000</v>
      </c>
      <c r="L300" s="255">
        <v>470000</v>
      </c>
      <c r="M300" s="255">
        <v>537000</v>
      </c>
      <c r="N300" s="255">
        <v>596920.00000000012</v>
      </c>
      <c r="O300" s="255">
        <v>606875</v>
      </c>
      <c r="P300" s="255">
        <v>564000</v>
      </c>
      <c r="Q300" s="255">
        <v>556000</v>
      </c>
      <c r="R300" s="141">
        <v>410000</v>
      </c>
    </row>
    <row r="301" spans="2:18" ht="16.05" hidden="1" customHeight="1" outlineLevel="1">
      <c r="B301" s="656"/>
      <c r="C301" s="635"/>
      <c r="D301" s="140" t="s">
        <v>96</v>
      </c>
      <c r="E301" s="140">
        <v>502</v>
      </c>
      <c r="F301" s="140" t="s">
        <v>112</v>
      </c>
      <c r="G301" s="255">
        <v>826000</v>
      </c>
      <c r="H301" s="255">
        <v>644000</v>
      </c>
      <c r="I301" s="255">
        <v>419000</v>
      </c>
      <c r="J301" s="255">
        <v>309000</v>
      </c>
      <c r="K301" s="255">
        <v>649000</v>
      </c>
      <c r="L301" s="255">
        <v>501000</v>
      </c>
      <c r="M301" s="255">
        <v>482000</v>
      </c>
      <c r="N301" s="255">
        <v>448000</v>
      </c>
      <c r="O301" s="255">
        <v>322055</v>
      </c>
      <c r="P301" s="255">
        <v>350000</v>
      </c>
      <c r="Q301" s="255">
        <v>569000</v>
      </c>
      <c r="R301" s="141">
        <v>643000</v>
      </c>
    </row>
    <row r="302" spans="2:18" ht="16.05" hidden="1" customHeight="1" outlineLevel="1">
      <c r="B302" s="656"/>
      <c r="C302" s="635"/>
      <c r="D302" s="140" t="s">
        <v>96</v>
      </c>
      <c r="E302" s="140">
        <v>504</v>
      </c>
      <c r="F302" s="140" t="s">
        <v>113</v>
      </c>
      <c r="G302" s="255">
        <v>518000</v>
      </c>
      <c r="H302" s="255">
        <v>557000</v>
      </c>
      <c r="I302" s="255">
        <v>412000</v>
      </c>
      <c r="J302" s="255">
        <v>503000</v>
      </c>
      <c r="K302" s="255">
        <v>613000</v>
      </c>
      <c r="L302" s="255">
        <v>300000</v>
      </c>
      <c r="M302" s="255">
        <v>357000</v>
      </c>
      <c r="N302" s="255">
        <v>389429.99999999994</v>
      </c>
      <c r="O302" s="255">
        <v>384806.00000000006</v>
      </c>
      <c r="P302" s="255">
        <v>271000</v>
      </c>
      <c r="Q302" s="255">
        <v>261000</v>
      </c>
      <c r="R302" s="141">
        <v>190000</v>
      </c>
    </row>
    <row r="303" spans="2:18" ht="16.05" hidden="1" customHeight="1" outlineLevel="1">
      <c r="B303" s="656"/>
      <c r="C303" s="635"/>
      <c r="D303" s="140" t="s">
        <v>96</v>
      </c>
      <c r="E303" s="140">
        <v>406</v>
      </c>
      <c r="F303" s="140" t="s">
        <v>114</v>
      </c>
      <c r="G303" s="255">
        <v>1117000</v>
      </c>
      <c r="H303" s="255">
        <v>1085000</v>
      </c>
      <c r="I303" s="255">
        <v>759000</v>
      </c>
      <c r="J303" s="255">
        <v>985000</v>
      </c>
      <c r="K303" s="255">
        <v>934000</v>
      </c>
      <c r="L303" s="255">
        <v>679000</v>
      </c>
      <c r="M303" s="255">
        <v>987000</v>
      </c>
      <c r="N303" s="255">
        <v>983000</v>
      </c>
      <c r="O303" s="255">
        <v>893207.00000000012</v>
      </c>
      <c r="P303" s="255">
        <v>832000</v>
      </c>
      <c r="Q303" s="255">
        <v>956000</v>
      </c>
      <c r="R303" s="141">
        <v>639000</v>
      </c>
    </row>
    <row r="304" spans="2:18" ht="16.05" hidden="1" customHeight="1" outlineLevel="1">
      <c r="B304" s="656"/>
      <c r="C304" s="635"/>
      <c r="D304" s="140" t="s">
        <v>96</v>
      </c>
      <c r="E304" s="140">
        <v>705</v>
      </c>
      <c r="F304" s="140" t="s">
        <v>116</v>
      </c>
      <c r="G304" s="255">
        <v>213000</v>
      </c>
      <c r="H304" s="255">
        <v>256000</v>
      </c>
      <c r="I304" s="255">
        <v>182000</v>
      </c>
      <c r="J304" s="255">
        <v>143000</v>
      </c>
      <c r="K304" s="255">
        <v>200000</v>
      </c>
      <c r="L304" s="255">
        <v>92000</v>
      </c>
      <c r="M304" s="255">
        <v>122000</v>
      </c>
      <c r="N304" s="255">
        <v>131000</v>
      </c>
      <c r="O304" s="255">
        <v>93391.999999999825</v>
      </c>
      <c r="P304" s="255">
        <v>100000</v>
      </c>
      <c r="Q304" s="255">
        <v>183000</v>
      </c>
      <c r="R304" s="141">
        <v>138000</v>
      </c>
    </row>
    <row r="305" spans="2:23" ht="16.05" hidden="1" customHeight="1" outlineLevel="1">
      <c r="B305" s="656"/>
      <c r="C305" s="635"/>
      <c r="D305" s="140" t="s">
        <v>96</v>
      </c>
      <c r="E305" s="140"/>
      <c r="F305" s="140" t="s">
        <v>136</v>
      </c>
      <c r="G305" s="255"/>
      <c r="H305" s="255">
        <v>198000</v>
      </c>
      <c r="I305" s="255">
        <v>162000</v>
      </c>
      <c r="J305" s="255">
        <v>191000</v>
      </c>
      <c r="K305" s="255">
        <v>159000</v>
      </c>
      <c r="L305" s="255">
        <v>109000</v>
      </c>
      <c r="M305" s="255">
        <v>176000</v>
      </c>
      <c r="N305" s="255">
        <v>121000</v>
      </c>
      <c r="O305" s="255">
        <v>0</v>
      </c>
      <c r="P305" s="255">
        <v>0</v>
      </c>
      <c r="Q305" s="255">
        <v>120000</v>
      </c>
      <c r="R305" s="141">
        <v>0</v>
      </c>
    </row>
    <row r="306" spans="2:23" ht="16.05" hidden="1" customHeight="1" outlineLevel="1">
      <c r="B306" s="656"/>
      <c r="C306" s="635"/>
      <c r="D306" s="258" t="s">
        <v>96</v>
      </c>
      <c r="E306" s="258">
        <v>324</v>
      </c>
      <c r="F306" s="258" t="s">
        <v>88</v>
      </c>
      <c r="G306" s="255"/>
      <c r="H306" s="255"/>
      <c r="I306" s="255"/>
      <c r="J306" s="255"/>
      <c r="K306" s="255"/>
      <c r="L306" s="255"/>
      <c r="M306" s="255"/>
      <c r="N306" s="255"/>
      <c r="O306" s="255">
        <v>30614.219999999998</v>
      </c>
      <c r="P306" s="255">
        <v>39900</v>
      </c>
      <c r="Q306" s="255">
        <v>150000</v>
      </c>
      <c r="R306" s="141">
        <v>75600</v>
      </c>
    </row>
    <row r="307" spans="2:23" ht="16.05" customHeight="1" collapsed="1">
      <c r="B307" s="656"/>
      <c r="C307" s="635"/>
      <c r="D307" s="140" t="s">
        <v>96</v>
      </c>
      <c r="E307" s="140"/>
      <c r="F307" s="140" t="s">
        <v>95</v>
      </c>
      <c r="G307" s="141">
        <f t="shared" ref="G307:R307" si="48">SUM(G288:G306)</f>
        <v>11241000</v>
      </c>
      <c r="H307" s="141">
        <f t="shared" si="48"/>
        <v>12493000</v>
      </c>
      <c r="I307" s="141">
        <f t="shared" si="48"/>
        <v>9130000</v>
      </c>
      <c r="J307" s="141">
        <f t="shared" si="48"/>
        <v>10231400</v>
      </c>
      <c r="K307" s="141">
        <f t="shared" si="48"/>
        <v>11340000</v>
      </c>
      <c r="L307" s="141">
        <f t="shared" si="48"/>
        <v>7882000</v>
      </c>
      <c r="M307" s="141">
        <f t="shared" si="48"/>
        <v>9162000</v>
      </c>
      <c r="N307" s="141">
        <f t="shared" si="48"/>
        <v>9046350</v>
      </c>
      <c r="O307" s="141">
        <f t="shared" si="48"/>
        <v>8285112.4000000004</v>
      </c>
      <c r="P307" s="141">
        <f t="shared" si="48"/>
        <v>7556200</v>
      </c>
      <c r="Q307" s="141">
        <f t="shared" si="48"/>
        <v>7871000</v>
      </c>
      <c r="R307" s="141">
        <f t="shared" si="48"/>
        <v>6869200</v>
      </c>
    </row>
    <row r="308" spans="2:23" ht="15.45" hidden="1" customHeight="1" outlineLevel="1">
      <c r="B308" s="656"/>
      <c r="C308" s="635"/>
      <c r="D308" s="143" t="s">
        <v>117</v>
      </c>
      <c r="E308" s="143">
        <v>300</v>
      </c>
      <c r="F308" s="143" t="s">
        <v>118</v>
      </c>
      <c r="G308" s="259">
        <v>90000</v>
      </c>
      <c r="H308" s="259">
        <v>270000</v>
      </c>
      <c r="I308" s="259">
        <v>302000</v>
      </c>
      <c r="J308" s="259">
        <v>234000</v>
      </c>
      <c r="K308" s="259">
        <v>278000</v>
      </c>
      <c r="L308" s="259">
        <v>284000</v>
      </c>
      <c r="M308" s="259">
        <v>257000</v>
      </c>
      <c r="N308" s="259">
        <v>323000</v>
      </c>
      <c r="O308" s="259">
        <v>327685.99999999994</v>
      </c>
      <c r="P308" s="259">
        <v>309000</v>
      </c>
      <c r="Q308" s="259">
        <v>221000</v>
      </c>
      <c r="R308" s="144">
        <v>254000</v>
      </c>
    </row>
    <row r="309" spans="2:23" ht="16.05" hidden="1" customHeight="1" outlineLevel="1">
      <c r="B309" s="656"/>
      <c r="C309" s="635"/>
      <c r="D309" s="143" t="s">
        <v>117</v>
      </c>
      <c r="E309" s="143">
        <v>209</v>
      </c>
      <c r="F309" s="143" t="s">
        <v>119</v>
      </c>
      <c r="G309" s="259">
        <v>405000</v>
      </c>
      <c r="H309" s="259">
        <v>467000</v>
      </c>
      <c r="I309" s="259">
        <v>317000</v>
      </c>
      <c r="J309" s="259">
        <v>420000</v>
      </c>
      <c r="K309" s="259">
        <v>486000</v>
      </c>
      <c r="L309" s="259">
        <v>295000</v>
      </c>
      <c r="M309" s="259">
        <v>264000</v>
      </c>
      <c r="N309" s="259">
        <v>354590.00000000006</v>
      </c>
      <c r="O309" s="259">
        <v>387192</v>
      </c>
      <c r="P309" s="259">
        <v>339000</v>
      </c>
      <c r="Q309" s="259">
        <v>373000</v>
      </c>
      <c r="R309" s="144">
        <v>325000</v>
      </c>
    </row>
    <row r="310" spans="2:23" ht="16.05" hidden="1" customHeight="1" outlineLevel="1">
      <c r="B310" s="656"/>
      <c r="C310" s="635"/>
      <c r="D310" s="143" t="s">
        <v>117</v>
      </c>
      <c r="E310" s="143">
        <v>201</v>
      </c>
      <c r="F310" s="143" t="s">
        <v>121</v>
      </c>
      <c r="G310" s="259">
        <v>262000</v>
      </c>
      <c r="H310" s="259">
        <v>285000</v>
      </c>
      <c r="I310" s="259">
        <v>192000</v>
      </c>
      <c r="J310" s="259">
        <v>222000</v>
      </c>
      <c r="K310" s="259">
        <v>236000</v>
      </c>
      <c r="L310" s="259">
        <v>126000</v>
      </c>
      <c r="M310" s="259">
        <v>139000</v>
      </c>
      <c r="N310" s="259">
        <v>154220</v>
      </c>
      <c r="O310" s="259">
        <v>173581.00000000003</v>
      </c>
      <c r="P310" s="259">
        <v>192000</v>
      </c>
      <c r="Q310" s="259">
        <v>172000</v>
      </c>
      <c r="R310" s="144">
        <v>139000</v>
      </c>
    </row>
    <row r="311" spans="2:23" ht="16.05" hidden="1" customHeight="1" outlineLevel="1">
      <c r="B311" s="656"/>
      <c r="C311" s="635"/>
      <c r="D311" s="143" t="s">
        <v>117</v>
      </c>
      <c r="E311" s="143">
        <v>206</v>
      </c>
      <c r="F311" s="143" t="s">
        <v>122</v>
      </c>
      <c r="G311" s="259">
        <v>121000</v>
      </c>
      <c r="H311" s="259">
        <v>125000</v>
      </c>
      <c r="I311" s="259">
        <v>93000</v>
      </c>
      <c r="J311" s="259">
        <v>111000</v>
      </c>
      <c r="K311" s="259">
        <v>146000</v>
      </c>
      <c r="L311" s="259">
        <v>77000</v>
      </c>
      <c r="M311" s="259">
        <v>93000</v>
      </c>
      <c r="N311" s="259">
        <v>84520.000000000015</v>
      </c>
      <c r="O311" s="259">
        <v>110753</v>
      </c>
      <c r="P311" s="259">
        <v>97000</v>
      </c>
      <c r="Q311" s="259">
        <v>94000</v>
      </c>
      <c r="R311" s="144">
        <v>78000</v>
      </c>
    </row>
    <row r="312" spans="2:23" ht="16.05" hidden="1" customHeight="1" outlineLevel="1">
      <c r="B312" s="656"/>
      <c r="C312" s="635"/>
      <c r="D312" s="140" t="s">
        <v>117</v>
      </c>
      <c r="E312" s="140">
        <v>602</v>
      </c>
      <c r="F312" s="140" t="s">
        <v>126</v>
      </c>
      <c r="G312" s="259">
        <v>199000</v>
      </c>
      <c r="H312" s="259">
        <v>219000</v>
      </c>
      <c r="I312" s="259">
        <v>187000</v>
      </c>
      <c r="J312" s="259">
        <v>276000</v>
      </c>
      <c r="K312" s="259">
        <v>351000</v>
      </c>
      <c r="L312" s="260">
        <v>231000</v>
      </c>
      <c r="M312" s="260">
        <v>216000</v>
      </c>
      <c r="N312" s="260">
        <v>205000</v>
      </c>
      <c r="O312" s="260">
        <v>203239.00000000003</v>
      </c>
      <c r="P312" s="260">
        <v>212000</v>
      </c>
      <c r="Q312" s="260">
        <v>208000</v>
      </c>
      <c r="R312" s="141">
        <v>189000</v>
      </c>
    </row>
    <row r="313" spans="2:23" ht="16.05" hidden="1" customHeight="1" outlineLevel="1">
      <c r="B313" s="656"/>
      <c r="C313" s="635"/>
      <c r="D313" s="140" t="s">
        <v>117</v>
      </c>
      <c r="E313" s="140">
        <v>220</v>
      </c>
      <c r="F313" s="140" t="s">
        <v>145</v>
      </c>
      <c r="G313" s="259">
        <v>277000</v>
      </c>
      <c r="H313" s="259">
        <v>231000</v>
      </c>
      <c r="I313" s="259">
        <v>163000</v>
      </c>
      <c r="J313" s="259">
        <v>130000</v>
      </c>
      <c r="K313" s="259">
        <v>159000</v>
      </c>
      <c r="L313" s="260">
        <v>107000</v>
      </c>
      <c r="M313" s="260">
        <v>158000</v>
      </c>
      <c r="N313" s="260">
        <v>130000</v>
      </c>
      <c r="O313" s="260">
        <v>149111</v>
      </c>
      <c r="P313" s="260">
        <v>169000</v>
      </c>
      <c r="Q313" s="260">
        <v>143000</v>
      </c>
      <c r="R313" s="141">
        <v>146000</v>
      </c>
    </row>
    <row r="314" spans="2:23" ht="16.05" customHeight="1" collapsed="1">
      <c r="B314" s="656"/>
      <c r="C314" s="635"/>
      <c r="D314" s="140" t="s">
        <v>117</v>
      </c>
      <c r="E314" s="140"/>
      <c r="F314" s="140" t="s">
        <v>95</v>
      </c>
      <c r="G314" s="261">
        <f t="shared" ref="G314:N314" si="49">SUM(G308:G313)</f>
        <v>1354000</v>
      </c>
      <c r="H314" s="261">
        <f t="shared" si="49"/>
        <v>1597000</v>
      </c>
      <c r="I314" s="261">
        <f t="shared" si="49"/>
        <v>1254000</v>
      </c>
      <c r="J314" s="261">
        <f t="shared" si="49"/>
        <v>1393000</v>
      </c>
      <c r="K314" s="261">
        <f t="shared" si="49"/>
        <v>1656000</v>
      </c>
      <c r="L314" s="261">
        <f t="shared" si="49"/>
        <v>1120000</v>
      </c>
      <c r="M314" s="261">
        <f t="shared" si="49"/>
        <v>1127000</v>
      </c>
      <c r="N314" s="261">
        <f t="shared" si="49"/>
        <v>1251330</v>
      </c>
      <c r="O314" s="261">
        <v>1351562</v>
      </c>
      <c r="P314" s="261">
        <v>1318000</v>
      </c>
      <c r="Q314" s="261">
        <f>SUM(Q308:Q313)</f>
        <v>1211000</v>
      </c>
      <c r="R314" s="261">
        <f>SUM(R308:R313)</f>
        <v>1131000</v>
      </c>
      <c r="V314" s="34"/>
    </row>
    <row r="315" spans="2:23" ht="16.05" customHeight="1">
      <c r="B315" s="656"/>
      <c r="C315" s="635"/>
      <c r="D315" s="134" t="s">
        <v>128</v>
      </c>
      <c r="E315" s="134"/>
      <c r="F315" s="134" t="s">
        <v>36</v>
      </c>
      <c r="G315" s="135">
        <f t="shared" ref="G315:R315" si="50">G287+G307+G314</f>
        <v>13643000</v>
      </c>
      <c r="H315" s="135">
        <f t="shared" si="50"/>
        <v>15461000</v>
      </c>
      <c r="I315" s="135">
        <f t="shared" si="50"/>
        <v>11316000</v>
      </c>
      <c r="J315" s="135">
        <f t="shared" si="50"/>
        <v>12838400</v>
      </c>
      <c r="K315" s="135">
        <f t="shared" si="50"/>
        <v>14249000</v>
      </c>
      <c r="L315" s="135">
        <f t="shared" si="50"/>
        <v>9691000</v>
      </c>
      <c r="M315" s="135">
        <f t="shared" si="50"/>
        <v>10965000</v>
      </c>
      <c r="N315" s="135">
        <f t="shared" si="50"/>
        <v>10908210</v>
      </c>
      <c r="O315" s="135">
        <f t="shared" si="50"/>
        <v>10199348.4</v>
      </c>
      <c r="P315" s="135">
        <f t="shared" si="50"/>
        <v>9198200</v>
      </c>
      <c r="Q315" s="135">
        <f t="shared" si="50"/>
        <v>9304000</v>
      </c>
      <c r="R315" s="135">
        <f t="shared" si="50"/>
        <v>8187200</v>
      </c>
    </row>
    <row r="316" spans="2:23" ht="16.05" customHeight="1">
      <c r="B316" s="656"/>
      <c r="C316" s="636"/>
      <c r="D316" s="130" t="s">
        <v>132</v>
      </c>
      <c r="E316" s="130"/>
      <c r="F316" s="130" t="s">
        <v>36</v>
      </c>
      <c r="G316" s="131">
        <f>G279+G282+G315</f>
        <v>17544000</v>
      </c>
      <c r="H316" s="131">
        <f t="shared" ref="H316:R316" si="51">H279+H282+H315</f>
        <v>20084000</v>
      </c>
      <c r="I316" s="131">
        <f t="shared" si="51"/>
        <v>15176000</v>
      </c>
      <c r="J316" s="131">
        <f t="shared" si="51"/>
        <v>17090000</v>
      </c>
      <c r="K316" s="131">
        <f t="shared" si="51"/>
        <v>19367000</v>
      </c>
      <c r="L316" s="131">
        <f t="shared" si="51"/>
        <v>13563500</v>
      </c>
      <c r="M316" s="131">
        <f t="shared" si="51"/>
        <v>15186500</v>
      </c>
      <c r="N316" s="131">
        <f t="shared" si="51"/>
        <v>15681280</v>
      </c>
      <c r="O316" s="131">
        <f t="shared" si="51"/>
        <v>14687489</v>
      </c>
      <c r="P316" s="131">
        <f t="shared" si="51"/>
        <v>13401000</v>
      </c>
      <c r="Q316" s="131">
        <f t="shared" si="51"/>
        <v>13646000</v>
      </c>
      <c r="R316" s="131">
        <f t="shared" si="51"/>
        <v>12970000</v>
      </c>
    </row>
    <row r="317" spans="2:23" ht="16.05" hidden="1" customHeight="1" outlineLevel="1">
      <c r="B317" s="656"/>
      <c r="C317" s="635" t="s">
        <v>1060</v>
      </c>
      <c r="D317" s="414" t="s">
        <v>74</v>
      </c>
      <c r="E317" s="414">
        <v>105</v>
      </c>
      <c r="F317" s="414" t="s">
        <v>75</v>
      </c>
      <c r="G317" s="415">
        <f t="shared" ref="G317:G363" si="52">G270*G$21</f>
        <v>804911.32843060547</v>
      </c>
      <c r="H317" s="415">
        <f t="shared" ref="H317:R317" si="53">H270*H$21</f>
        <v>761020.37763220526</v>
      </c>
      <c r="I317" s="415">
        <f t="shared" si="53"/>
        <v>766884.10112861439</v>
      </c>
      <c r="J317" s="415">
        <f t="shared" si="53"/>
        <v>727471.35403599497</v>
      </c>
      <c r="K317" s="415">
        <f t="shared" si="53"/>
        <v>774539.98765460309</v>
      </c>
      <c r="L317" s="415">
        <f t="shared" si="53"/>
        <v>802906.52615295362</v>
      </c>
      <c r="M317" s="415">
        <f t="shared" si="53"/>
        <v>825112.13686249196</v>
      </c>
      <c r="N317" s="415">
        <f t="shared" si="53"/>
        <v>968295.33512064337</v>
      </c>
      <c r="O317" s="415">
        <f t="shared" si="53"/>
        <v>887728.38398122275</v>
      </c>
      <c r="P317" s="415">
        <f t="shared" si="53"/>
        <v>970341.08950101188</v>
      </c>
      <c r="Q317" s="415">
        <f t="shared" si="53"/>
        <v>1035005.0508836163</v>
      </c>
      <c r="R317" s="415">
        <f t="shared" si="53"/>
        <v>933795.10489510489</v>
      </c>
    </row>
    <row r="318" spans="2:23" ht="16.05" hidden="1" customHeight="1" outlineLevel="1">
      <c r="B318" s="656"/>
      <c r="C318" s="635"/>
      <c r="D318" s="118" t="s">
        <v>74</v>
      </c>
      <c r="E318" s="118">
        <v>102</v>
      </c>
      <c r="F318" s="118" t="s">
        <v>76</v>
      </c>
      <c r="G318" s="415">
        <f t="shared" si="52"/>
        <v>804911.32843060547</v>
      </c>
      <c r="H318" s="415">
        <f t="shared" ref="H318:R318" si="54">H271*H$21</f>
        <v>761020.37763220526</v>
      </c>
      <c r="I318" s="415">
        <f t="shared" si="54"/>
        <v>766884.10112861439</v>
      </c>
      <c r="J318" s="415">
        <f t="shared" si="54"/>
        <v>727471.35403599497</v>
      </c>
      <c r="K318" s="415">
        <f t="shared" si="54"/>
        <v>789367.89282366645</v>
      </c>
      <c r="L318" s="415">
        <f t="shared" si="54"/>
        <v>833645.67340230104</v>
      </c>
      <c r="M318" s="415">
        <f t="shared" si="54"/>
        <v>799411.0449939653</v>
      </c>
      <c r="N318" s="415">
        <f t="shared" si="54"/>
        <v>981933.29758713138</v>
      </c>
      <c r="O318" s="415">
        <f t="shared" si="54"/>
        <v>946910.27624663757</v>
      </c>
      <c r="P318" s="415">
        <f t="shared" si="54"/>
        <v>1035030.4954677462</v>
      </c>
      <c r="Q318" s="415">
        <f t="shared" si="54"/>
        <v>1091099.9048634935</v>
      </c>
      <c r="R318" s="415">
        <f t="shared" si="54"/>
        <v>996048.11188811203</v>
      </c>
      <c r="U318" s="34">
        <f>SUM(Q317:Q321,Q324:Q325)</f>
        <v>4775761.8819730738</v>
      </c>
      <c r="V318" s="34">
        <f>SUM(R317:R321,R324:R325)</f>
        <v>4581004.0937440936</v>
      </c>
    </row>
    <row r="319" spans="2:23" ht="16.05" hidden="1" customHeight="1" outlineLevel="1">
      <c r="B319" s="656"/>
      <c r="C319" s="635"/>
      <c r="D319" s="118" t="s">
        <v>74</v>
      </c>
      <c r="E319" s="118">
        <v>706</v>
      </c>
      <c r="F319" s="118" t="s">
        <v>77</v>
      </c>
      <c r="G319" s="415">
        <f t="shared" si="52"/>
        <v>790982.08418087929</v>
      </c>
      <c r="H319" s="415">
        <f t="shared" ref="H319:R319" si="55">H272*H$21</f>
        <v>704808.64519346284</v>
      </c>
      <c r="I319" s="415">
        <f t="shared" si="55"/>
        <v>719166.86816950061</v>
      </c>
      <c r="J319" s="415">
        <f t="shared" si="55"/>
        <v>618272.51222446945</v>
      </c>
      <c r="K319" s="415">
        <f t="shared" si="55"/>
        <v>644577.75999634201</v>
      </c>
      <c r="L319" s="415">
        <f t="shared" si="55"/>
        <v>759256.93705888034</v>
      </c>
      <c r="M319" s="415">
        <f t="shared" si="55"/>
        <v>679472.61627417407</v>
      </c>
      <c r="N319" s="415">
        <f t="shared" si="55"/>
        <v>640984.23592493299</v>
      </c>
      <c r="O319" s="415">
        <f t="shared" si="55"/>
        <v>734857.978094836</v>
      </c>
      <c r="P319" s="415">
        <f t="shared" si="55"/>
        <v>736429.56965590059</v>
      </c>
      <c r="Q319" s="415">
        <f t="shared" si="55"/>
        <v>691836.53241848538</v>
      </c>
      <c r="R319" s="415">
        <f t="shared" si="55"/>
        <v>735498.84709884704</v>
      </c>
      <c r="W319" s="31">
        <f>(V318-U318)/U318</f>
        <v>-4.078046457134446E-2</v>
      </c>
    </row>
    <row r="320" spans="2:23" ht="16.05" hidden="1" customHeight="1" outlineLevel="1">
      <c r="B320" s="656"/>
      <c r="C320" s="635"/>
      <c r="D320" s="118" t="s">
        <v>74</v>
      </c>
      <c r="E320" s="118">
        <v>703</v>
      </c>
      <c r="F320" s="118" t="s">
        <v>78</v>
      </c>
      <c r="G320" s="415">
        <f t="shared" si="52"/>
        <v>358180.56642153027</v>
      </c>
      <c r="H320" s="415">
        <f t="shared" ref="H320:R320" si="56">H273*H$21</f>
        <v>545686.20259763813</v>
      </c>
      <c r="I320" s="415">
        <f t="shared" si="56"/>
        <v>637365.89738244843</v>
      </c>
      <c r="J320" s="415">
        <f t="shared" si="56"/>
        <v>724736.49932157388</v>
      </c>
      <c r="K320" s="415">
        <f t="shared" si="56"/>
        <v>785006.7442445301</v>
      </c>
      <c r="L320" s="415">
        <f t="shared" si="56"/>
        <v>782003.90602339734</v>
      </c>
      <c r="M320" s="415">
        <f t="shared" si="56"/>
        <v>724984.96645802341</v>
      </c>
      <c r="N320" s="415">
        <f t="shared" si="56"/>
        <v>613708.31099195709</v>
      </c>
      <c r="O320" s="415">
        <f t="shared" si="56"/>
        <v>648721.22147265146</v>
      </c>
      <c r="P320" s="415">
        <f t="shared" si="56"/>
        <v>728595.21253190166</v>
      </c>
      <c r="Q320" s="415">
        <f t="shared" si="56"/>
        <v>509253.28220947331</v>
      </c>
      <c r="R320" s="415">
        <f t="shared" si="56"/>
        <v>647767.77546777541</v>
      </c>
      <c r="V320" s="385"/>
    </row>
    <row r="321" spans="2:20" ht="16.05" hidden="1" customHeight="1" outlineLevel="1">
      <c r="B321" s="656"/>
      <c r="C321" s="635"/>
      <c r="D321" s="118" t="s">
        <v>74</v>
      </c>
      <c r="E321" s="118">
        <v>605</v>
      </c>
      <c r="F321" s="118" t="s">
        <v>79</v>
      </c>
      <c r="G321" s="415">
        <f t="shared" si="52"/>
        <v>287539.39915506181</v>
      </c>
      <c r="H321" s="415">
        <f t="shared" ref="H321:R321" si="57">H274*H$21</f>
        <v>296624.98809982545</v>
      </c>
      <c r="I321" s="415">
        <f t="shared" si="57"/>
        <v>307889.76504571037</v>
      </c>
      <c r="J321" s="415">
        <f t="shared" si="57"/>
        <v>286183.0111876296</v>
      </c>
      <c r="K321" s="415">
        <f t="shared" si="57"/>
        <v>306152.63025536673</v>
      </c>
      <c r="L321" s="415">
        <f t="shared" si="57"/>
        <v>386083.6894518031</v>
      </c>
      <c r="M321" s="415">
        <f t="shared" si="57"/>
        <v>322334.52718443878</v>
      </c>
      <c r="N321" s="415">
        <f t="shared" si="57"/>
        <v>333253.35427039448</v>
      </c>
      <c r="O321" s="415">
        <f t="shared" si="57"/>
        <v>293629.46540956799</v>
      </c>
      <c r="P321" s="415">
        <f t="shared" si="57"/>
        <v>271964.111590249</v>
      </c>
      <c r="Q321" s="415">
        <f t="shared" si="57"/>
        <v>357467.20673451148</v>
      </c>
      <c r="R321" s="415">
        <f t="shared" si="57"/>
        <v>384574.56057456054</v>
      </c>
    </row>
    <row r="322" spans="2:20" ht="16.05" hidden="1" customHeight="1" outlineLevel="1">
      <c r="B322" s="656"/>
      <c r="C322" s="635"/>
      <c r="D322" s="118" t="s">
        <v>74</v>
      </c>
      <c r="E322" s="118">
        <v>607</v>
      </c>
      <c r="F322" s="118" t="s">
        <v>80</v>
      </c>
      <c r="G322" s="415">
        <f t="shared" si="52"/>
        <v>0</v>
      </c>
      <c r="H322" s="415">
        <f t="shared" ref="H322:R322" si="58">H275*H$21</f>
        <v>0</v>
      </c>
      <c r="I322" s="415">
        <f t="shared" si="58"/>
        <v>0</v>
      </c>
      <c r="J322" s="415">
        <f t="shared" si="58"/>
        <v>0</v>
      </c>
      <c r="K322" s="415">
        <f t="shared" si="58"/>
        <v>0</v>
      </c>
      <c r="L322" s="415">
        <f t="shared" si="58"/>
        <v>0</v>
      </c>
      <c r="M322" s="415">
        <f t="shared" si="58"/>
        <v>0</v>
      </c>
      <c r="N322" s="415">
        <f t="shared" si="58"/>
        <v>0</v>
      </c>
      <c r="O322" s="415">
        <f t="shared" si="58"/>
        <v>364468.31473706418</v>
      </c>
      <c r="P322" s="415">
        <f t="shared" si="58"/>
        <v>369333.97870280733</v>
      </c>
      <c r="Q322" s="415">
        <f t="shared" si="58"/>
        <v>0</v>
      </c>
      <c r="R322" s="415">
        <f t="shared" si="58"/>
        <v>337704.53600453597</v>
      </c>
    </row>
    <row r="323" spans="2:20" ht="16.05" hidden="1" customHeight="1" outlineLevel="1">
      <c r="B323" s="656"/>
      <c r="C323" s="635"/>
      <c r="D323" s="118" t="s">
        <v>74</v>
      </c>
      <c r="E323" s="118" t="s">
        <v>947</v>
      </c>
      <c r="F323" s="118" t="s">
        <v>82</v>
      </c>
      <c r="G323" s="415">
        <f t="shared" si="52"/>
        <v>0</v>
      </c>
      <c r="H323" s="415">
        <f t="shared" ref="H323:R323" si="59">H276*H$21</f>
        <v>0</v>
      </c>
      <c r="I323" s="415">
        <f t="shared" si="59"/>
        <v>0</v>
      </c>
      <c r="J323" s="415">
        <f t="shared" si="59"/>
        <v>0</v>
      </c>
      <c r="K323" s="415">
        <f t="shared" si="59"/>
        <v>0</v>
      </c>
      <c r="L323" s="415">
        <f t="shared" si="59"/>
        <v>0</v>
      </c>
      <c r="M323" s="415">
        <f t="shared" si="59"/>
        <v>0</v>
      </c>
      <c r="N323" s="415">
        <f t="shared" si="59"/>
        <v>0</v>
      </c>
      <c r="O323" s="415">
        <f t="shared" si="59"/>
        <v>0</v>
      </c>
      <c r="P323" s="415">
        <f t="shared" si="59"/>
        <v>0</v>
      </c>
      <c r="Q323" s="415">
        <f t="shared" si="59"/>
        <v>0</v>
      </c>
      <c r="R323" s="415">
        <f t="shared" si="59"/>
        <v>305256.05745605746</v>
      </c>
    </row>
    <row r="324" spans="2:20" ht="16.05" hidden="1" customHeight="1" outlineLevel="1">
      <c r="B324" s="656"/>
      <c r="C324" s="635"/>
      <c r="D324" s="118" t="s">
        <v>74</v>
      </c>
      <c r="E324" s="118">
        <v>603</v>
      </c>
      <c r="F324" s="118" t="s">
        <v>83</v>
      </c>
      <c r="G324" s="415">
        <f t="shared" si="52"/>
        <v>348231.10624315444</v>
      </c>
      <c r="H324" s="415">
        <f t="shared" ref="H324:R324" si="60">H277*H$21</f>
        <v>319109.68107532244</v>
      </c>
      <c r="I324" s="415">
        <f t="shared" si="60"/>
        <v>370376.61773026414</v>
      </c>
      <c r="J324" s="415">
        <f t="shared" si="60"/>
        <v>414135.1424694708</v>
      </c>
      <c r="K324" s="415">
        <f t="shared" si="60"/>
        <v>492809.78944239946</v>
      </c>
      <c r="L324" s="415">
        <f t="shared" si="60"/>
        <v>478301.13119984523</v>
      </c>
      <c r="M324" s="415">
        <f t="shared" si="60"/>
        <v>437989.44059280882</v>
      </c>
      <c r="N324" s="415">
        <f t="shared" si="60"/>
        <v>447101.11666028341</v>
      </c>
      <c r="O324" s="415">
        <f t="shared" si="60"/>
        <v>0</v>
      </c>
      <c r="P324" s="415">
        <f t="shared" si="60"/>
        <v>0</v>
      </c>
      <c r="Q324" s="415">
        <f t="shared" si="60"/>
        <v>380565.08778504917</v>
      </c>
      <c r="R324" s="415">
        <f t="shared" si="60"/>
        <v>191085.48478548479</v>
      </c>
    </row>
    <row r="325" spans="2:20" ht="16.05" hidden="1" customHeight="1" outlineLevel="1">
      <c r="B325" s="656"/>
      <c r="C325" s="635"/>
      <c r="D325" s="118" t="s">
        <v>74</v>
      </c>
      <c r="E325" s="118">
        <v>707</v>
      </c>
      <c r="F325" s="118" t="s">
        <v>85</v>
      </c>
      <c r="G325" s="415">
        <f t="shared" si="52"/>
        <v>486528.60272257862</v>
      </c>
      <c r="H325" s="415">
        <f t="shared" ref="H325:R325" si="61">H278*H$21</f>
        <v>609681.09798943717</v>
      </c>
      <c r="I325" s="415">
        <f t="shared" si="61"/>
        <v>816873.58327625738</v>
      </c>
      <c r="J325" s="415">
        <f t="shared" si="61"/>
        <v>654411.66380789015</v>
      </c>
      <c r="K325" s="415">
        <f t="shared" si="61"/>
        <v>671616.88118698692</v>
      </c>
      <c r="L325" s="415">
        <f t="shared" si="61"/>
        <v>719296.04563472874</v>
      </c>
      <c r="M325" s="415">
        <f t="shared" si="61"/>
        <v>731410.2394251551</v>
      </c>
      <c r="N325" s="415">
        <f t="shared" si="61"/>
        <v>664363.600153198</v>
      </c>
      <c r="O325" s="415">
        <f t="shared" si="61"/>
        <v>639545.898095891</v>
      </c>
      <c r="P325" s="415">
        <f t="shared" si="61"/>
        <v>592053.5597993487</v>
      </c>
      <c r="Q325" s="415">
        <f t="shared" si="61"/>
        <v>710534.81707844441</v>
      </c>
      <c r="R325" s="415">
        <f t="shared" si="61"/>
        <v>692234.20903420902</v>
      </c>
    </row>
    <row r="326" spans="2:20" ht="16.05" customHeight="1" collapsed="1">
      <c r="B326" s="656"/>
      <c r="C326" s="635"/>
      <c r="D326" s="467" t="s">
        <v>74</v>
      </c>
      <c r="E326" s="467"/>
      <c r="F326" s="467" t="s">
        <v>36</v>
      </c>
      <c r="G326" s="135">
        <f t="shared" si="52"/>
        <v>3881284.4155844157</v>
      </c>
      <c r="H326" s="135">
        <f t="shared" ref="H326:R326" si="62">H279*H$21</f>
        <v>3997951.3702200968</v>
      </c>
      <c r="I326" s="135">
        <f t="shared" si="62"/>
        <v>4385440.9338614093</v>
      </c>
      <c r="J326" s="135">
        <f t="shared" si="62"/>
        <v>4152681.5370830237</v>
      </c>
      <c r="K326" s="135">
        <f t="shared" si="62"/>
        <v>4464071.6856038952</v>
      </c>
      <c r="L326" s="135">
        <f t="shared" si="62"/>
        <v>4761493.9089239091</v>
      </c>
      <c r="M326" s="135">
        <f t="shared" si="62"/>
        <v>4520714.9717910578</v>
      </c>
      <c r="N326" s="135">
        <f t="shared" si="62"/>
        <v>4649639.2507085409</v>
      </c>
      <c r="O326" s="135">
        <f t="shared" si="62"/>
        <v>4515861.538037871</v>
      </c>
      <c r="P326" s="135">
        <f t="shared" si="62"/>
        <v>4703748.0172489649</v>
      </c>
      <c r="Q326" s="135">
        <f t="shared" si="62"/>
        <v>4775761.8819730738</v>
      </c>
      <c r="R326" s="135">
        <f t="shared" si="62"/>
        <v>5223964.6872046869</v>
      </c>
      <c r="T326" s="158"/>
    </row>
    <row r="327" spans="2:20" ht="16.05" hidden="1" customHeight="1" outlineLevel="1">
      <c r="B327" s="656"/>
      <c r="C327" s="635"/>
      <c r="D327" s="140" t="s">
        <v>129</v>
      </c>
      <c r="E327" s="140">
        <v>704</v>
      </c>
      <c r="F327" s="140" t="s">
        <v>130</v>
      </c>
      <c r="G327" s="415">
        <f t="shared" si="52"/>
        <v>0</v>
      </c>
      <c r="H327" s="415">
        <f t="shared" ref="H327:R327" si="63">H280*H$21</f>
        <v>0</v>
      </c>
      <c r="I327" s="415">
        <f t="shared" si="63"/>
        <v>0</v>
      </c>
      <c r="J327" s="415">
        <f t="shared" si="63"/>
        <v>0</v>
      </c>
      <c r="K327" s="415">
        <f t="shared" si="63"/>
        <v>0</v>
      </c>
      <c r="L327" s="415">
        <f t="shared" si="63"/>
        <v>0</v>
      </c>
      <c r="M327" s="415">
        <f t="shared" si="63"/>
        <v>0</v>
      </c>
      <c r="N327" s="415">
        <f t="shared" si="63"/>
        <v>0</v>
      </c>
      <c r="O327" s="415">
        <f t="shared" si="63"/>
        <v>0</v>
      </c>
      <c r="P327" s="415">
        <f t="shared" si="63"/>
        <v>0</v>
      </c>
      <c r="Q327" s="415">
        <f t="shared" si="63"/>
        <v>0</v>
      </c>
      <c r="R327" s="415">
        <f t="shared" si="63"/>
        <v>432646.38064638065</v>
      </c>
      <c r="T327" s="158"/>
    </row>
    <row r="328" spans="2:20" ht="16.05" hidden="1" customHeight="1" outlineLevel="1">
      <c r="B328" s="656"/>
      <c r="C328" s="635"/>
      <c r="D328" s="140" t="s">
        <v>129</v>
      </c>
      <c r="E328" s="140">
        <v>608</v>
      </c>
      <c r="F328" s="140" t="s">
        <v>131</v>
      </c>
      <c r="G328" s="415">
        <f t="shared" si="52"/>
        <v>0</v>
      </c>
      <c r="H328" s="415">
        <f t="shared" ref="H328:R328" si="64">H281*H$21</f>
        <v>0</v>
      </c>
      <c r="I328" s="415">
        <f t="shared" si="64"/>
        <v>0</v>
      </c>
      <c r="J328" s="415">
        <f t="shared" si="64"/>
        <v>0</v>
      </c>
      <c r="K328" s="415">
        <f t="shared" si="64"/>
        <v>0</v>
      </c>
      <c r="L328" s="415">
        <f t="shared" si="64"/>
        <v>0</v>
      </c>
      <c r="M328" s="415">
        <f t="shared" si="64"/>
        <v>0</v>
      </c>
      <c r="N328" s="415">
        <f t="shared" si="64"/>
        <v>0</v>
      </c>
      <c r="O328" s="415">
        <f t="shared" si="64"/>
        <v>0</v>
      </c>
      <c r="P328" s="415">
        <f t="shared" si="64"/>
        <v>0</v>
      </c>
      <c r="Q328" s="415">
        <f t="shared" si="64"/>
        <v>0</v>
      </c>
      <c r="R328" s="415">
        <f t="shared" si="64"/>
        <v>91336.458136458139</v>
      </c>
      <c r="T328" s="158"/>
    </row>
    <row r="329" spans="2:20" ht="16.05" customHeight="1" collapsed="1">
      <c r="B329" s="656"/>
      <c r="C329" s="635"/>
      <c r="D329" s="467" t="s">
        <v>129</v>
      </c>
      <c r="E329" s="467"/>
      <c r="F329" s="467" t="s">
        <v>36</v>
      </c>
      <c r="G329" s="135">
        <f t="shared" si="52"/>
        <v>0</v>
      </c>
      <c r="H329" s="135">
        <f t="shared" ref="H329:R329" si="65">H282*H$21</f>
        <v>0</v>
      </c>
      <c r="I329" s="135">
        <f t="shared" si="65"/>
        <v>0</v>
      </c>
      <c r="J329" s="135">
        <f t="shared" si="65"/>
        <v>0</v>
      </c>
      <c r="K329" s="135">
        <f t="shared" si="65"/>
        <v>0</v>
      </c>
      <c r="L329" s="135">
        <f t="shared" si="65"/>
        <v>0</v>
      </c>
      <c r="M329" s="135">
        <f t="shared" si="65"/>
        <v>0</v>
      </c>
      <c r="N329" s="135">
        <f t="shared" si="65"/>
        <v>0</v>
      </c>
      <c r="O329" s="135">
        <f t="shared" si="65"/>
        <v>0</v>
      </c>
      <c r="P329" s="135">
        <f t="shared" si="65"/>
        <v>0</v>
      </c>
      <c r="Q329" s="135">
        <f t="shared" si="65"/>
        <v>0</v>
      </c>
      <c r="R329" s="135">
        <f t="shared" si="65"/>
        <v>523982.83878283878</v>
      </c>
      <c r="T329" s="158"/>
    </row>
    <row r="330" spans="2:20" ht="16.05" hidden="1" customHeight="1" outlineLevel="1">
      <c r="B330" s="656"/>
      <c r="C330" s="635"/>
      <c r="D330" s="121" t="s">
        <v>90</v>
      </c>
      <c r="E330" s="121" t="s">
        <v>141</v>
      </c>
      <c r="F330" s="121" t="s">
        <v>142</v>
      </c>
      <c r="G330" s="415">
        <f t="shared" si="52"/>
        <v>758148.86559223908</v>
      </c>
      <c r="H330" s="415">
        <f t="shared" ref="H330:R330" si="66">H283*H$21</f>
        <v>881227.00546274683</v>
      </c>
      <c r="I330" s="415">
        <f t="shared" si="66"/>
        <v>811192.9603049343</v>
      </c>
      <c r="J330" s="415">
        <f t="shared" si="66"/>
        <v>856595.56590973085</v>
      </c>
      <c r="K330" s="415">
        <f t="shared" si="66"/>
        <v>771051.068791294</v>
      </c>
      <c r="L330" s="415">
        <f t="shared" si="66"/>
        <v>570518.57294788735</v>
      </c>
      <c r="M330" s="415">
        <f t="shared" si="66"/>
        <v>444414.71355994052</v>
      </c>
      <c r="N330" s="415">
        <f t="shared" si="66"/>
        <v>407190.59364228265</v>
      </c>
      <c r="O330" s="415">
        <f t="shared" si="66"/>
        <v>380479.60116039898</v>
      </c>
      <c r="P330" s="415">
        <f t="shared" si="66"/>
        <v>195858.92809997356</v>
      </c>
      <c r="Q330" s="415">
        <f t="shared" si="66"/>
        <v>91291.62510450602</v>
      </c>
      <c r="R330" s="415">
        <f t="shared" si="66"/>
        <v>110565.18616518617</v>
      </c>
    </row>
    <row r="331" spans="2:20" ht="16.05" hidden="1" customHeight="1" outlineLevel="1">
      <c r="B331" s="656"/>
      <c r="C331" s="635"/>
      <c r="D331" s="121" t="s">
        <v>90</v>
      </c>
      <c r="E331" s="121">
        <v>301</v>
      </c>
      <c r="F331" s="121" t="s">
        <v>92</v>
      </c>
      <c r="G331" s="415">
        <f t="shared" si="52"/>
        <v>86560.303551869816</v>
      </c>
      <c r="H331" s="415">
        <f t="shared" ref="H331:R331" si="67">H284*H$21</f>
        <v>82155.608948931258</v>
      </c>
      <c r="I331" s="415">
        <f t="shared" si="67"/>
        <v>51125.606741907621</v>
      </c>
      <c r="J331" s="415">
        <f t="shared" si="67"/>
        <v>89859.512045262527</v>
      </c>
      <c r="K331" s="415">
        <f t="shared" si="67"/>
        <v>101178.64703596167</v>
      </c>
      <c r="L331" s="415">
        <f t="shared" si="67"/>
        <v>87299.178188146558</v>
      </c>
      <c r="M331" s="415">
        <f t="shared" si="67"/>
        <v>91024.700367698664</v>
      </c>
      <c r="N331" s="415">
        <f t="shared" si="67"/>
        <v>65267.391803906547</v>
      </c>
      <c r="O331" s="415">
        <f t="shared" si="67"/>
        <v>81938.988322168894</v>
      </c>
      <c r="P331" s="415">
        <f t="shared" si="67"/>
        <v>70509.214115990486</v>
      </c>
      <c r="Q331" s="415">
        <f t="shared" si="67"/>
        <v>59394.551272811143</v>
      </c>
      <c r="R331" s="415">
        <f t="shared" si="67"/>
        <v>44466.433566433567</v>
      </c>
    </row>
    <row r="332" spans="2:20" ht="16.05" hidden="1" customHeight="1" outlineLevel="1">
      <c r="B332" s="656"/>
      <c r="C332" s="635"/>
      <c r="D332" s="121" t="s">
        <v>90</v>
      </c>
      <c r="E332" s="121">
        <v>402</v>
      </c>
      <c r="F332" s="121" t="s">
        <v>93</v>
      </c>
      <c r="G332" s="415">
        <f t="shared" si="52"/>
        <v>115413.73806915975</v>
      </c>
      <c r="H332" s="415">
        <f t="shared" ref="H332:R332" si="68">H285*H$21</f>
        <v>96857.138971371576</v>
      </c>
      <c r="I332" s="415">
        <f t="shared" si="68"/>
        <v>86345.469164110647</v>
      </c>
      <c r="J332" s="415">
        <f t="shared" si="68"/>
        <v>112324.39005657817</v>
      </c>
      <c r="K332" s="415">
        <f t="shared" si="68"/>
        <v>110773.17391006148</v>
      </c>
      <c r="L332" s="415">
        <f t="shared" si="68"/>
        <v>95906.13941796383</v>
      </c>
      <c r="M332" s="415">
        <f t="shared" si="68"/>
        <v>92095.579195553932</v>
      </c>
      <c r="N332" s="415">
        <f t="shared" si="68"/>
        <v>70654.386978169277</v>
      </c>
      <c r="O332" s="415">
        <f t="shared" si="68"/>
        <v>54424.086133234872</v>
      </c>
      <c r="P332" s="415">
        <f t="shared" si="68"/>
        <v>41410.173369708697</v>
      </c>
      <c r="Q332" s="415">
        <f t="shared" si="68"/>
        <v>39596.367515207428</v>
      </c>
      <c r="R332" s="415">
        <f t="shared" si="68"/>
        <v>54080.797580797582</v>
      </c>
    </row>
    <row r="333" spans="2:20" ht="16.05" hidden="1" customHeight="1" outlineLevel="1">
      <c r="B333" s="656"/>
      <c r="C333" s="635"/>
      <c r="D333" s="121" t="s">
        <v>90</v>
      </c>
      <c r="E333" s="121">
        <v>503</v>
      </c>
      <c r="F333" s="121" t="s">
        <v>94</v>
      </c>
      <c r="G333" s="415">
        <f t="shared" si="52"/>
        <v>82580.519480519477</v>
      </c>
      <c r="H333" s="415">
        <f t="shared" ref="H333:R333" si="69">H286*H$21</f>
        <v>125395.40313257927</v>
      </c>
      <c r="I333" s="415">
        <f t="shared" si="69"/>
        <v>110204.08564366754</v>
      </c>
      <c r="J333" s="415">
        <f t="shared" si="69"/>
        <v>126975.39745526228</v>
      </c>
      <c r="K333" s="415">
        <f t="shared" si="69"/>
        <v>109900.94419423422</v>
      </c>
      <c r="L333" s="415">
        <f t="shared" si="69"/>
        <v>93447.007638016046</v>
      </c>
      <c r="M333" s="415">
        <f t="shared" si="69"/>
        <v>96379.094506975045</v>
      </c>
      <c r="N333" s="415">
        <f t="shared" si="69"/>
        <v>51629.429337418609</v>
      </c>
      <c r="O333" s="415">
        <f t="shared" si="69"/>
        <v>49306.672524922105</v>
      </c>
      <c r="P333" s="415">
        <f t="shared" si="69"/>
        <v>54840.499867992599</v>
      </c>
      <c r="Q333" s="415">
        <f t="shared" si="69"/>
        <v>53895.055784587887</v>
      </c>
      <c r="R333" s="415">
        <f t="shared" si="69"/>
        <v>15623.341523341523</v>
      </c>
    </row>
    <row r="334" spans="2:20" ht="16.05" customHeight="1" collapsed="1">
      <c r="B334" s="656"/>
      <c r="C334" s="635"/>
      <c r="D334" s="138" t="s">
        <v>90</v>
      </c>
      <c r="E334" s="138"/>
      <c r="F334" s="138" t="s">
        <v>95</v>
      </c>
      <c r="G334" s="415">
        <f t="shared" si="52"/>
        <v>1042703.4266937881</v>
      </c>
      <c r="H334" s="415">
        <f t="shared" ref="H334:R334" si="70">H287*H$21</f>
        <v>1185635.156515629</v>
      </c>
      <c r="I334" s="415">
        <f t="shared" si="70"/>
        <v>1058868.1218546201</v>
      </c>
      <c r="J334" s="415">
        <f t="shared" si="70"/>
        <v>1185754.8654668338</v>
      </c>
      <c r="K334" s="415">
        <f t="shared" si="70"/>
        <v>1092903.8339315513</v>
      </c>
      <c r="L334" s="415">
        <f t="shared" si="70"/>
        <v>847170.89819201385</v>
      </c>
      <c r="M334" s="415">
        <f t="shared" si="70"/>
        <v>723914.08763016819</v>
      </c>
      <c r="N334" s="415">
        <f t="shared" si="70"/>
        <v>594741.80176177702</v>
      </c>
      <c r="O334" s="415">
        <f t="shared" si="70"/>
        <v>566149.34814072482</v>
      </c>
      <c r="P334" s="415">
        <f t="shared" si="70"/>
        <v>362618.81545366533</v>
      </c>
      <c r="Q334" s="415">
        <f t="shared" si="70"/>
        <v>244177.59967711248</v>
      </c>
      <c r="R334" s="415">
        <f t="shared" si="70"/>
        <v>224735.75883575884</v>
      </c>
    </row>
    <row r="335" spans="2:20" ht="16.05" hidden="1" customHeight="1" outlineLevel="1">
      <c r="B335" s="656"/>
      <c r="C335" s="635"/>
      <c r="D335" s="140" t="s">
        <v>96</v>
      </c>
      <c r="E335" s="140" t="s">
        <v>143</v>
      </c>
      <c r="F335" s="140" t="s">
        <v>144</v>
      </c>
      <c r="G335" s="415">
        <f t="shared" si="52"/>
        <v>2049588.7967454232</v>
      </c>
      <c r="H335" s="415">
        <f t="shared" ref="H335:R335" si="71">H288*H$21</f>
        <v>1937142.7794274318</v>
      </c>
      <c r="I335" s="415">
        <f t="shared" si="71"/>
        <v>1952998.1775408713</v>
      </c>
      <c r="J335" s="415">
        <f t="shared" si="71"/>
        <v>1552420.7439645682</v>
      </c>
      <c r="K335" s="415">
        <f t="shared" si="71"/>
        <v>1658980.9195034404</v>
      </c>
      <c r="L335" s="415">
        <f t="shared" si="71"/>
        <v>1468101.6726288309</v>
      </c>
      <c r="M335" s="415">
        <f t="shared" si="71"/>
        <v>1296834.2605327421</v>
      </c>
      <c r="N335" s="415">
        <f t="shared" si="71"/>
        <v>1343339.3029490616</v>
      </c>
      <c r="O335" s="415">
        <f t="shared" si="71"/>
        <v>1124455.9530428818</v>
      </c>
      <c r="P335" s="415">
        <f t="shared" si="71"/>
        <v>1229098.7133679485</v>
      </c>
      <c r="Q335" s="415">
        <f t="shared" si="71"/>
        <v>1033905.1517859717</v>
      </c>
      <c r="R335" s="415">
        <f t="shared" si="71"/>
        <v>1182807.1328671328</v>
      </c>
    </row>
    <row r="336" spans="2:20" ht="16.05" hidden="1" customHeight="1" outlineLevel="1">
      <c r="B336" s="656"/>
      <c r="C336" s="635"/>
      <c r="D336" s="140" t="s">
        <v>96</v>
      </c>
      <c r="E336" s="140">
        <v>307</v>
      </c>
      <c r="F336" s="140" t="s">
        <v>100</v>
      </c>
      <c r="G336" s="415">
        <f t="shared" si="52"/>
        <v>397978.40713503363</v>
      </c>
      <c r="H336" s="415">
        <f t="shared" ref="H336:R336" si="72">H289*H$21</f>
        <v>333811.2110977628</v>
      </c>
      <c r="I336" s="415">
        <f t="shared" si="72"/>
        <v>373784.99151305796</v>
      </c>
      <c r="J336" s="415">
        <f t="shared" si="72"/>
        <v>378972.72471262893</v>
      </c>
      <c r="K336" s="415">
        <f t="shared" si="72"/>
        <v>329702.83258270269</v>
      </c>
      <c r="L336" s="415">
        <f t="shared" si="72"/>
        <v>389772.38712172478</v>
      </c>
      <c r="M336" s="415">
        <f t="shared" si="72"/>
        <v>390870.77216717659</v>
      </c>
      <c r="N336" s="415">
        <f t="shared" si="72"/>
        <v>311724.8563768671</v>
      </c>
      <c r="O336" s="415">
        <f t="shared" si="72"/>
        <v>267886.44001265906</v>
      </c>
      <c r="P336" s="415">
        <f t="shared" si="72"/>
        <v>274202.49933996302</v>
      </c>
      <c r="Q336" s="415">
        <f t="shared" si="72"/>
        <v>255176.59065355899</v>
      </c>
      <c r="R336" s="415">
        <f t="shared" si="72"/>
        <v>264395.01039501041</v>
      </c>
    </row>
    <row r="337" spans="2:20" ht="16.05" hidden="1" customHeight="1" outlineLevel="1">
      <c r="B337" s="656"/>
      <c r="C337" s="635"/>
      <c r="D337" s="140" t="s">
        <v>96</v>
      </c>
      <c r="E337" s="140">
        <v>304</v>
      </c>
      <c r="F337" s="140" t="s">
        <v>101</v>
      </c>
      <c r="G337" s="415">
        <f t="shared" si="52"/>
        <v>393003.67704584572</v>
      </c>
      <c r="H337" s="415">
        <f t="shared" ref="H337:R352" si="73">H290*H$21</f>
        <v>407318.86120996444</v>
      </c>
      <c r="I337" s="415">
        <f t="shared" si="73"/>
        <v>399915.85718114406</v>
      </c>
      <c r="J337" s="415">
        <f t="shared" si="73"/>
        <v>417065.34394920763</v>
      </c>
      <c r="K337" s="415">
        <f t="shared" si="73"/>
        <v>357614.18348917487</v>
      </c>
      <c r="L337" s="415">
        <f t="shared" si="73"/>
        <v>386083.6894518031</v>
      </c>
      <c r="M337" s="415">
        <f t="shared" si="73"/>
        <v>403721.31810143992</v>
      </c>
      <c r="N337" s="415">
        <f t="shared" si="73"/>
        <v>390893.22849482956</v>
      </c>
      <c r="O337" s="415">
        <f t="shared" si="73"/>
        <v>364453.22208977264</v>
      </c>
      <c r="P337" s="415">
        <f t="shared" si="73"/>
        <v>311135.89721024374</v>
      </c>
      <c r="Q337" s="415">
        <f t="shared" si="73"/>
        <v>251876.89336062502</v>
      </c>
      <c r="R337" s="415">
        <f t="shared" si="73"/>
        <v>221130.37233037234</v>
      </c>
    </row>
    <row r="338" spans="2:20" ht="16.05" hidden="1" customHeight="1" outlineLevel="1">
      <c r="B338" s="656"/>
      <c r="C338" s="635"/>
      <c r="D338" s="140" t="s">
        <v>96</v>
      </c>
      <c r="E338" s="140">
        <v>306</v>
      </c>
      <c r="F338" s="140" t="s">
        <v>102</v>
      </c>
      <c r="G338" s="415">
        <f t="shared" si="52"/>
        <v>358180.56642153027</v>
      </c>
      <c r="H338" s="415">
        <f t="shared" si="73"/>
        <v>403859.67767527257</v>
      </c>
      <c r="I338" s="415">
        <f t="shared" si="73"/>
        <v>452177.58851731633</v>
      </c>
      <c r="J338" s="415">
        <f t="shared" si="73"/>
        <v>602644.77099920635</v>
      </c>
      <c r="K338" s="415">
        <f t="shared" si="73"/>
        <v>535549.04551793507</v>
      </c>
      <c r="L338" s="415">
        <f t="shared" si="73"/>
        <v>581584.6659576525</v>
      </c>
      <c r="M338" s="415">
        <f t="shared" si="73"/>
        <v>538652.05041120504</v>
      </c>
      <c r="N338" s="415">
        <f t="shared" si="73"/>
        <v>389967.7953274608</v>
      </c>
      <c r="O338" s="415">
        <f t="shared" si="73"/>
        <v>261576.70726831583</v>
      </c>
      <c r="P338" s="415">
        <f t="shared" si="73"/>
        <v>444319.96831822576</v>
      </c>
      <c r="Q338" s="415">
        <f t="shared" si="73"/>
        <v>514752.77769769658</v>
      </c>
      <c r="R338" s="415">
        <f t="shared" si="73"/>
        <v>475911.01871101873</v>
      </c>
    </row>
    <row r="339" spans="2:20" ht="16.05" hidden="1" customHeight="1" outlineLevel="1">
      <c r="B339" s="656"/>
      <c r="C339" s="635"/>
      <c r="D339" s="140" t="s">
        <v>96</v>
      </c>
      <c r="E339" s="140">
        <v>303</v>
      </c>
      <c r="F339" s="140" t="s">
        <v>103</v>
      </c>
      <c r="G339" s="415">
        <f t="shared" si="52"/>
        <v>130337.92833672352</v>
      </c>
      <c r="H339" s="415">
        <f t="shared" si="73"/>
        <v>140961.72903869257</v>
      </c>
      <c r="I339" s="415">
        <f t="shared" si="73"/>
        <v>159057.44319704594</v>
      </c>
      <c r="J339" s="415">
        <f t="shared" si="73"/>
        <v>175812.08878420931</v>
      </c>
      <c r="K339" s="415">
        <f t="shared" si="73"/>
        <v>173573.7134496239</v>
      </c>
      <c r="L339" s="415">
        <f t="shared" si="73"/>
        <v>183205.31760611039</v>
      </c>
      <c r="M339" s="415">
        <f t="shared" si="73"/>
        <v>258081.79751312209</v>
      </c>
      <c r="N339" s="415">
        <f t="shared" si="73"/>
        <v>328743.08525469166</v>
      </c>
      <c r="O339" s="415">
        <f t="shared" si="73"/>
        <v>255715.72923677412</v>
      </c>
      <c r="P339" s="415">
        <f t="shared" si="73"/>
        <v>233911.5198451113</v>
      </c>
      <c r="Q339" s="415">
        <f t="shared" si="73"/>
        <v>227679.11321244269</v>
      </c>
      <c r="R339" s="415">
        <f t="shared" si="73"/>
        <v>222332.16783216782</v>
      </c>
    </row>
    <row r="340" spans="2:20" ht="16.05" hidden="1" customHeight="1" outlineLevel="1">
      <c r="B340" s="656"/>
      <c r="C340" s="635"/>
      <c r="D340" s="140" t="s">
        <v>96</v>
      </c>
      <c r="E340" s="140">
        <v>302</v>
      </c>
      <c r="F340" s="140" t="s">
        <v>104</v>
      </c>
      <c r="G340" s="415">
        <f t="shared" si="52"/>
        <v>1445656.5639180096</v>
      </c>
      <c r="H340" s="415">
        <f t="shared" si="73"/>
        <v>1579117.2835868259</v>
      </c>
      <c r="I340" s="415">
        <f t="shared" si="73"/>
        <v>1459920.1036300289</v>
      </c>
      <c r="J340" s="415">
        <f t="shared" si="73"/>
        <v>1542262.7121681471</v>
      </c>
      <c r="K340" s="415">
        <f t="shared" si="73"/>
        <v>1390334.1670286455</v>
      </c>
      <c r="L340" s="415">
        <f t="shared" si="73"/>
        <v>1393098.1533404232</v>
      </c>
      <c r="M340" s="415">
        <f t="shared" si="73"/>
        <v>1315039.2006062819</v>
      </c>
      <c r="N340" s="415">
        <f t="shared" si="73"/>
        <v>932144.99318268849</v>
      </c>
      <c r="O340" s="415">
        <f t="shared" si="73"/>
        <v>777649.25540165615</v>
      </c>
      <c r="P340" s="415">
        <f t="shared" si="73"/>
        <v>866032.22036434046</v>
      </c>
      <c r="Q340" s="415">
        <f t="shared" si="73"/>
        <v>1022906.1608095252</v>
      </c>
      <c r="R340" s="415">
        <f t="shared" si="73"/>
        <v>941438.52428652439</v>
      </c>
    </row>
    <row r="341" spans="2:20" ht="16.05" hidden="1" customHeight="1" outlineLevel="1">
      <c r="B341" s="656"/>
      <c r="C341" s="635"/>
      <c r="D341" s="140" t="s">
        <v>96</v>
      </c>
      <c r="E341" s="140">
        <v>321</v>
      </c>
      <c r="F341" s="140" t="s">
        <v>87</v>
      </c>
      <c r="G341" s="415">
        <f t="shared" si="52"/>
        <v>0</v>
      </c>
      <c r="H341" s="415">
        <f t="shared" si="73"/>
        <v>0</v>
      </c>
      <c r="I341" s="415">
        <f t="shared" si="73"/>
        <v>0</v>
      </c>
      <c r="J341" s="415">
        <f t="shared" si="73"/>
        <v>0</v>
      </c>
      <c r="K341" s="415">
        <f t="shared" si="73"/>
        <v>0</v>
      </c>
      <c r="L341" s="415">
        <f t="shared" si="73"/>
        <v>0</v>
      </c>
      <c r="M341" s="415">
        <f t="shared" si="73"/>
        <v>0</v>
      </c>
      <c r="N341" s="415">
        <f t="shared" si="73"/>
        <v>0</v>
      </c>
      <c r="O341" s="415">
        <f t="shared" si="73"/>
        <v>197671.60121831318</v>
      </c>
      <c r="P341" s="415">
        <f t="shared" si="73"/>
        <v>208505.81888585759</v>
      </c>
      <c r="Q341" s="415">
        <f t="shared" si="73"/>
        <v>0</v>
      </c>
      <c r="R341" s="415">
        <f t="shared" si="73"/>
        <v>179115.60158760162</v>
      </c>
    </row>
    <row r="342" spans="2:20" ht="16.05" hidden="1" customHeight="1" outlineLevel="1">
      <c r="B342" s="656"/>
      <c r="C342" s="635"/>
      <c r="D342" s="140" t="s">
        <v>96</v>
      </c>
      <c r="E342" s="140">
        <v>401</v>
      </c>
      <c r="F342" s="140" t="s">
        <v>105</v>
      </c>
      <c r="G342" s="415">
        <f t="shared" si="52"/>
        <v>612886.7469879518</v>
      </c>
      <c r="H342" s="415">
        <f t="shared" si="73"/>
        <v>614869.873291475</v>
      </c>
      <c r="I342" s="415">
        <f t="shared" si="73"/>
        <v>524889.5625502516</v>
      </c>
      <c r="J342" s="415">
        <f t="shared" si="73"/>
        <v>519622.3957399964</v>
      </c>
      <c r="K342" s="415">
        <f t="shared" si="73"/>
        <v>544271.34267620754</v>
      </c>
      <c r="L342" s="415">
        <f t="shared" si="73"/>
        <v>527483.76679880102</v>
      </c>
      <c r="M342" s="415">
        <f t="shared" si="73"/>
        <v>529014.14096050744</v>
      </c>
      <c r="N342" s="415">
        <f t="shared" si="73"/>
        <v>486164.13772500952</v>
      </c>
      <c r="O342" s="415">
        <f t="shared" si="73"/>
        <v>547244.29814336193</v>
      </c>
      <c r="P342" s="415">
        <f t="shared" si="73"/>
        <v>564073.71292792389</v>
      </c>
      <c r="Q342" s="415">
        <f t="shared" si="73"/>
        <v>559848.64070112724</v>
      </c>
      <c r="R342" s="415">
        <f t="shared" si="73"/>
        <v>354529.67302967299</v>
      </c>
    </row>
    <row r="343" spans="2:20" ht="16.05" hidden="1" customHeight="1" outlineLevel="1">
      <c r="B343" s="656"/>
      <c r="C343" s="635"/>
      <c r="D343" s="140" t="s">
        <v>96</v>
      </c>
      <c r="E343" s="140">
        <v>403</v>
      </c>
      <c r="F343" s="140" t="s">
        <v>106</v>
      </c>
      <c r="G343" s="415">
        <f t="shared" si="52"/>
        <v>807896.16648411832</v>
      </c>
      <c r="H343" s="415">
        <f t="shared" si="73"/>
        <v>771397.9282362808</v>
      </c>
      <c r="I343" s="415">
        <f t="shared" si="73"/>
        <v>769156.3503171436</v>
      </c>
      <c r="J343" s="415">
        <f t="shared" si="73"/>
        <v>748178.11115946854</v>
      </c>
      <c r="K343" s="415">
        <f t="shared" si="73"/>
        <v>824257.08145675668</v>
      </c>
      <c r="L343" s="415">
        <f t="shared" si="73"/>
        <v>817661.31683264032</v>
      </c>
      <c r="M343" s="415">
        <f t="shared" si="73"/>
        <v>847065.15283352521</v>
      </c>
      <c r="N343" s="415">
        <f t="shared" si="73"/>
        <v>752523.28609728068</v>
      </c>
      <c r="O343" s="415">
        <f t="shared" si="73"/>
        <v>767940.05478137033</v>
      </c>
      <c r="P343" s="415">
        <f t="shared" si="73"/>
        <v>614437.43729648856</v>
      </c>
      <c r="Q343" s="415">
        <f t="shared" si="73"/>
        <v>530151.36506472167</v>
      </c>
      <c r="R343" s="415">
        <f t="shared" si="73"/>
        <v>775158.09865809861</v>
      </c>
    </row>
    <row r="344" spans="2:20" ht="16.05" hidden="1" customHeight="1" outlineLevel="1">
      <c r="B344" s="656"/>
      <c r="C344" s="635"/>
      <c r="D344" s="140" t="s">
        <v>96</v>
      </c>
      <c r="E344" s="140">
        <v>404</v>
      </c>
      <c r="F344" s="140" t="s">
        <v>107</v>
      </c>
      <c r="G344" s="415">
        <f t="shared" si="52"/>
        <v>606917.07088092633</v>
      </c>
      <c r="H344" s="415">
        <f t="shared" si="73"/>
        <v>587196.40501394018</v>
      </c>
      <c r="I344" s="415">
        <f t="shared" si="73"/>
        <v>573742.92010363005</v>
      </c>
      <c r="J344" s="415">
        <f t="shared" si="73"/>
        <v>546970.94288420677</v>
      </c>
      <c r="K344" s="415">
        <f t="shared" si="73"/>
        <v>480598.57342081791</v>
      </c>
      <c r="L344" s="415">
        <f t="shared" si="73"/>
        <v>483219.39475974086</v>
      </c>
      <c r="M344" s="415">
        <f t="shared" si="73"/>
        <v>529014.14096050744</v>
      </c>
      <c r="N344" s="415">
        <f t="shared" si="73"/>
        <v>514764.89329758723</v>
      </c>
      <c r="O344" s="415">
        <f t="shared" si="73"/>
        <v>579373.52569755784</v>
      </c>
      <c r="P344" s="415">
        <f t="shared" si="73"/>
        <v>499160.46818621835</v>
      </c>
      <c r="Q344" s="415">
        <f t="shared" si="73"/>
        <v>383864.78507798311</v>
      </c>
      <c r="R344" s="415">
        <f t="shared" si="73"/>
        <v>376161.99206199206</v>
      </c>
      <c r="T344" s="31">
        <f>(P344-O344)/O344</f>
        <v>-0.13844791650561536</v>
      </c>
    </row>
    <row r="345" spans="2:20" ht="16.05" hidden="1" customHeight="1" outlineLevel="1">
      <c r="B345" s="656"/>
      <c r="C345" s="635"/>
      <c r="D345" s="140" t="s">
        <v>96</v>
      </c>
      <c r="E345" s="140">
        <v>601</v>
      </c>
      <c r="F345" s="140" t="s">
        <v>109</v>
      </c>
      <c r="G345" s="415">
        <f t="shared" si="52"/>
        <v>532296.11954310746</v>
      </c>
      <c r="H345" s="415">
        <f t="shared" si="73"/>
        <v>502446.40841399011</v>
      </c>
      <c r="I345" s="415">
        <f t="shared" si="73"/>
        <v>495350.32309937163</v>
      </c>
      <c r="J345" s="415">
        <f t="shared" si="73"/>
        <v>436600.02048078645</v>
      </c>
      <c r="K345" s="415">
        <f t="shared" si="73"/>
        <v>394247.83155391959</v>
      </c>
      <c r="L345" s="415">
        <f t="shared" si="73"/>
        <v>443873.2862805762</v>
      </c>
      <c r="M345" s="415">
        <f t="shared" si="73"/>
        <v>458336.13832205912</v>
      </c>
      <c r="N345" s="415">
        <f t="shared" si="73"/>
        <v>462346.41041746456</v>
      </c>
      <c r="O345" s="415">
        <f t="shared" si="73"/>
        <v>461853.11829737853</v>
      </c>
      <c r="P345" s="415">
        <f t="shared" si="73"/>
        <v>485730.14168793446</v>
      </c>
      <c r="Q345" s="415">
        <f t="shared" si="73"/>
        <v>449858.73093666218</v>
      </c>
      <c r="R345" s="415">
        <f t="shared" si="73"/>
        <v>419426.63012663013</v>
      </c>
    </row>
    <row r="346" spans="2:20" ht="16.05" hidden="1" customHeight="1" outlineLevel="1">
      <c r="B346" s="656"/>
      <c r="C346" s="635"/>
      <c r="D346" s="140" t="s">
        <v>96</v>
      </c>
      <c r="E346" s="140">
        <v>405</v>
      </c>
      <c r="F346" s="140" t="s">
        <v>110</v>
      </c>
      <c r="G346" s="415">
        <f t="shared" si="52"/>
        <v>459665.06024096382</v>
      </c>
      <c r="H346" s="415">
        <f t="shared" si="73"/>
        <v>416831.61593036697</v>
      </c>
      <c r="I346" s="415">
        <f t="shared" si="73"/>
        <v>389690.73583276256</v>
      </c>
      <c r="J346" s="415">
        <f t="shared" si="73"/>
        <v>372135.58792657638</v>
      </c>
      <c r="K346" s="415">
        <f t="shared" si="73"/>
        <v>397736.75041722861</v>
      </c>
      <c r="L346" s="415">
        <f t="shared" si="73"/>
        <v>372558.46466209029</v>
      </c>
      <c r="M346" s="415">
        <f t="shared" si="73"/>
        <v>395154.28747859772</v>
      </c>
      <c r="N346" s="415">
        <f t="shared" si="73"/>
        <v>299479.91436231323</v>
      </c>
      <c r="O346" s="415">
        <f t="shared" si="73"/>
        <v>385119.08093781315</v>
      </c>
      <c r="P346" s="415">
        <f t="shared" si="73"/>
        <v>312255.09108510072</v>
      </c>
      <c r="Q346" s="415">
        <f t="shared" si="73"/>
        <v>353067.61034393287</v>
      </c>
      <c r="R346" s="415">
        <f t="shared" si="73"/>
        <v>324484.78548478551</v>
      </c>
    </row>
    <row r="347" spans="2:20" ht="16.05" hidden="1" customHeight="1" outlineLevel="1">
      <c r="B347" s="656"/>
      <c r="C347" s="635"/>
      <c r="D347" s="140" t="s">
        <v>96</v>
      </c>
      <c r="E347" s="140">
        <v>501</v>
      </c>
      <c r="F347" s="140" t="s">
        <v>111</v>
      </c>
      <c r="G347" s="415">
        <f t="shared" si="52"/>
        <v>729295.4310749491</v>
      </c>
      <c r="H347" s="415">
        <f t="shared" si="73"/>
        <v>739400.48054038128</v>
      </c>
      <c r="I347" s="415">
        <f t="shared" si="73"/>
        <v>624868.52684553759</v>
      </c>
      <c r="J347" s="415">
        <f t="shared" si="73"/>
        <v>619249.24605104828</v>
      </c>
      <c r="K347" s="415">
        <f t="shared" si="73"/>
        <v>575671.61244598881</v>
      </c>
      <c r="L347" s="415">
        <f t="shared" si="73"/>
        <v>577895.96828773082</v>
      </c>
      <c r="M347" s="415">
        <f t="shared" si="73"/>
        <v>575061.93055828451</v>
      </c>
      <c r="N347" s="415">
        <f t="shared" si="73"/>
        <v>581483.75396399852</v>
      </c>
      <c r="O347" s="415">
        <f t="shared" si="73"/>
        <v>610623.35500290093</v>
      </c>
      <c r="P347" s="415">
        <f t="shared" si="73"/>
        <v>631225.34541934344</v>
      </c>
      <c r="Q347" s="415">
        <f t="shared" si="73"/>
        <v>611543.89829042577</v>
      </c>
      <c r="R347" s="415">
        <f t="shared" si="73"/>
        <v>492736.15573615575</v>
      </c>
    </row>
    <row r="348" spans="2:20" ht="16.05" hidden="1" customHeight="1" outlineLevel="1">
      <c r="B348" s="656"/>
      <c r="C348" s="635"/>
      <c r="D348" s="140" t="s">
        <v>96</v>
      </c>
      <c r="E348" s="140">
        <v>502</v>
      </c>
      <c r="F348" s="140" t="s">
        <v>112</v>
      </c>
      <c r="G348" s="415">
        <f t="shared" si="52"/>
        <v>821825.4107338445</v>
      </c>
      <c r="H348" s="415">
        <f t="shared" si="73"/>
        <v>556928.54908538656</v>
      </c>
      <c r="I348" s="415">
        <f t="shared" si="73"/>
        <v>476036.20499687322</v>
      </c>
      <c r="J348" s="415">
        <f t="shared" si="73"/>
        <v>301810.75241289265</v>
      </c>
      <c r="K348" s="415">
        <f t="shared" si="73"/>
        <v>566077.08557188895</v>
      </c>
      <c r="L348" s="415">
        <f t="shared" si="73"/>
        <v>616012.51087692147</v>
      </c>
      <c r="M348" s="415">
        <f t="shared" si="73"/>
        <v>516163.59502624418</v>
      </c>
      <c r="N348" s="415">
        <f t="shared" si="73"/>
        <v>436414.79892761394</v>
      </c>
      <c r="O348" s="415">
        <f t="shared" si="73"/>
        <v>324044.16823144682</v>
      </c>
      <c r="P348" s="415">
        <f t="shared" si="73"/>
        <v>391717.85619994713</v>
      </c>
      <c r="Q348" s="415">
        <f t="shared" si="73"/>
        <v>625842.58655980625</v>
      </c>
      <c r="R348" s="415">
        <f t="shared" si="73"/>
        <v>772754.50765450764</v>
      </c>
    </row>
    <row r="349" spans="2:20" ht="16.05" hidden="1" customHeight="1" outlineLevel="1">
      <c r="B349" s="656"/>
      <c r="C349" s="635"/>
      <c r="D349" s="140" t="s">
        <v>96</v>
      </c>
      <c r="E349" s="140">
        <v>504</v>
      </c>
      <c r="F349" s="140" t="s">
        <v>113</v>
      </c>
      <c r="G349" s="415">
        <f t="shared" si="52"/>
        <v>515382.03723986854</v>
      </c>
      <c r="H349" s="415">
        <f t="shared" si="73"/>
        <v>481691.30720583902</v>
      </c>
      <c r="I349" s="415">
        <f t="shared" si="73"/>
        <v>468083.33283702092</v>
      </c>
      <c r="J349" s="415">
        <f t="shared" si="73"/>
        <v>491297.11476920714</v>
      </c>
      <c r="K349" s="415">
        <f t="shared" si="73"/>
        <v>534676.8158021078</v>
      </c>
      <c r="L349" s="415">
        <f t="shared" si="73"/>
        <v>368869.76699216856</v>
      </c>
      <c r="M349" s="415">
        <f t="shared" si="73"/>
        <v>382303.74154433433</v>
      </c>
      <c r="N349" s="415">
        <f t="shared" si="73"/>
        <v>379359.40880888543</v>
      </c>
      <c r="O349" s="415">
        <f t="shared" si="73"/>
        <v>387182.7489108076</v>
      </c>
      <c r="P349" s="415">
        <f t="shared" si="73"/>
        <v>303301.54008624482</v>
      </c>
      <c r="Q349" s="415">
        <f t="shared" si="73"/>
        <v>287073.66448525386</v>
      </c>
      <c r="R349" s="415">
        <f t="shared" si="73"/>
        <v>228341.14534114534</v>
      </c>
      <c r="T349" s="31">
        <f>(P349-O349)/O349</f>
        <v>-0.21664500564792949</v>
      </c>
    </row>
    <row r="350" spans="2:20" ht="16.05" hidden="1" customHeight="1" outlineLevel="1">
      <c r="B350" s="656"/>
      <c r="C350" s="635"/>
      <c r="D350" s="140" t="s">
        <v>96</v>
      </c>
      <c r="E350" s="140">
        <v>406</v>
      </c>
      <c r="F350" s="140" t="s">
        <v>114</v>
      </c>
      <c r="G350" s="415">
        <f t="shared" si="52"/>
        <v>1111354.7019245813</v>
      </c>
      <c r="H350" s="415">
        <f t="shared" si="73"/>
        <v>938303.53378516226</v>
      </c>
      <c r="I350" s="415">
        <f t="shared" si="73"/>
        <v>862318.56704684196</v>
      </c>
      <c r="J350" s="415">
        <f t="shared" si="73"/>
        <v>962082.81918025645</v>
      </c>
      <c r="K350" s="415">
        <f t="shared" si="73"/>
        <v>814662.55458265683</v>
      </c>
      <c r="L350" s="415">
        <f t="shared" si="73"/>
        <v>834875.23929227493</v>
      </c>
      <c r="M350" s="415">
        <f t="shared" si="73"/>
        <v>1056957.4030931597</v>
      </c>
      <c r="N350" s="415">
        <f t="shared" si="73"/>
        <v>957579.79318268853</v>
      </c>
      <c r="O350" s="415">
        <f t="shared" si="73"/>
        <v>898723.88062134082</v>
      </c>
      <c r="P350" s="415">
        <f t="shared" si="73"/>
        <v>931169.30388101726</v>
      </c>
      <c r="Q350" s="415">
        <f t="shared" si="73"/>
        <v>1051503.5373482862</v>
      </c>
      <c r="R350" s="415">
        <f t="shared" si="73"/>
        <v>767947.3256473256</v>
      </c>
    </row>
    <row r="351" spans="2:20" ht="16.05" hidden="1" customHeight="1" outlineLevel="1">
      <c r="B351" s="656"/>
      <c r="C351" s="635"/>
      <c r="D351" s="140" t="s">
        <v>96</v>
      </c>
      <c r="E351" s="140">
        <v>705</v>
      </c>
      <c r="F351" s="140" t="s">
        <v>116</v>
      </c>
      <c r="G351" s="415">
        <f t="shared" si="52"/>
        <v>211923.50179940541</v>
      </c>
      <c r="H351" s="415">
        <f t="shared" si="73"/>
        <v>221387.74622027791</v>
      </c>
      <c r="I351" s="415">
        <f t="shared" si="73"/>
        <v>206774.67615615972</v>
      </c>
      <c r="J351" s="415">
        <f t="shared" si="73"/>
        <v>139672.9372007885</v>
      </c>
      <c r="K351" s="415">
        <f t="shared" si="73"/>
        <v>174445.94316545114</v>
      </c>
      <c r="L351" s="415">
        <f t="shared" si="73"/>
        <v>113120.06187759836</v>
      </c>
      <c r="M351" s="415">
        <f t="shared" si="73"/>
        <v>130647.21699834395</v>
      </c>
      <c r="N351" s="415">
        <f t="shared" si="73"/>
        <v>127612.36307927997</v>
      </c>
      <c r="O351" s="415">
        <f t="shared" si="73"/>
        <v>93968.834389999291</v>
      </c>
      <c r="P351" s="415">
        <f t="shared" si="73"/>
        <v>111919.38748569919</v>
      </c>
      <c r="Q351" s="415">
        <f t="shared" si="73"/>
        <v>201281.5348689711</v>
      </c>
      <c r="R351" s="415">
        <f t="shared" si="73"/>
        <v>165847.77924777925</v>
      </c>
    </row>
    <row r="352" spans="2:20" ht="16.05" hidden="1" customHeight="1" outlineLevel="1">
      <c r="B352" s="656"/>
      <c r="C352" s="635"/>
      <c r="D352" s="140" t="s">
        <v>96</v>
      </c>
      <c r="E352" s="140"/>
      <c r="F352" s="140" t="s">
        <v>136</v>
      </c>
      <c r="G352" s="415">
        <f t="shared" si="52"/>
        <v>0</v>
      </c>
      <c r="H352" s="415">
        <f t="shared" si="73"/>
        <v>171229.58496724619</v>
      </c>
      <c r="I352" s="415">
        <f t="shared" si="73"/>
        <v>184052.18427086744</v>
      </c>
      <c r="J352" s="415">
        <f t="shared" si="73"/>
        <v>186556.16087657766</v>
      </c>
      <c r="K352" s="415">
        <f t="shared" si="73"/>
        <v>138684.52481653367</v>
      </c>
      <c r="L352" s="415">
        <f t="shared" si="73"/>
        <v>134022.6820071546</v>
      </c>
      <c r="M352" s="415">
        <f t="shared" si="73"/>
        <v>188474.67370252899</v>
      </c>
      <c r="N352" s="415">
        <f t="shared" si="73"/>
        <v>117870.96131750286</v>
      </c>
      <c r="O352" s="415">
        <f t="shared" si="73"/>
        <v>0</v>
      </c>
      <c r="P352" s="415">
        <f t="shared" si="73"/>
        <v>0</v>
      </c>
      <c r="Q352" s="415">
        <f t="shared" si="73"/>
        <v>131987.89171735808</v>
      </c>
      <c r="R352" s="415">
        <f t="shared" si="73"/>
        <v>0</v>
      </c>
    </row>
    <row r="353" spans="2:18" ht="16.05" hidden="1" customHeight="1" outlineLevel="1">
      <c r="B353" s="656"/>
      <c r="C353" s="635"/>
      <c r="D353" s="258" t="s">
        <v>96</v>
      </c>
      <c r="E353" s="258">
        <v>324</v>
      </c>
      <c r="F353" s="258" t="s">
        <v>88</v>
      </c>
      <c r="G353" s="415">
        <f t="shared" si="52"/>
        <v>0</v>
      </c>
      <c r="H353" s="415">
        <f t="shared" ref="H353:R363" si="74">H306*H$21</f>
        <v>0</v>
      </c>
      <c r="I353" s="415">
        <f t="shared" si="74"/>
        <v>0</v>
      </c>
      <c r="J353" s="415">
        <f t="shared" si="74"/>
        <v>0</v>
      </c>
      <c r="K353" s="415">
        <f t="shared" si="74"/>
        <v>0</v>
      </c>
      <c r="L353" s="415">
        <f t="shared" si="74"/>
        <v>0</v>
      </c>
      <c r="M353" s="415">
        <f t="shared" si="74"/>
        <v>0</v>
      </c>
      <c r="N353" s="415">
        <f t="shared" si="74"/>
        <v>0</v>
      </c>
      <c r="O353" s="415">
        <f t="shared" si="74"/>
        <v>30803.308304340942</v>
      </c>
      <c r="P353" s="415">
        <f t="shared" si="74"/>
        <v>44655.835606793975</v>
      </c>
      <c r="Q353" s="415">
        <f t="shared" si="74"/>
        <v>164984.86464669762</v>
      </c>
      <c r="R353" s="415">
        <f t="shared" si="74"/>
        <v>90855.739935739926</v>
      </c>
    </row>
    <row r="354" spans="2:18" ht="16.05" customHeight="1" collapsed="1">
      <c r="B354" s="656"/>
      <c r="C354" s="635"/>
      <c r="D354" s="140" t="s">
        <v>96</v>
      </c>
      <c r="E354" s="140"/>
      <c r="F354" s="140" t="s">
        <v>95</v>
      </c>
      <c r="G354" s="415">
        <f t="shared" si="52"/>
        <v>11184188.186512282</v>
      </c>
      <c r="H354" s="415">
        <f t="shared" si="74"/>
        <v>10803894.974726297</v>
      </c>
      <c r="I354" s="415">
        <f t="shared" si="74"/>
        <v>10372817.545635924</v>
      </c>
      <c r="J354" s="415">
        <f t="shared" si="74"/>
        <v>9993354.4732597731</v>
      </c>
      <c r="K354" s="415">
        <f t="shared" si="74"/>
        <v>9891084.9774810802</v>
      </c>
      <c r="L354" s="415">
        <f t="shared" si="74"/>
        <v>9691438.3447742425</v>
      </c>
      <c r="M354" s="415">
        <f t="shared" si="74"/>
        <v>9811391.8208100609</v>
      </c>
      <c r="N354" s="415">
        <f t="shared" si="74"/>
        <v>8812412.9827652238</v>
      </c>
      <c r="O354" s="415">
        <f t="shared" si="74"/>
        <v>8336285.2815886913</v>
      </c>
      <c r="P354" s="415">
        <f t="shared" si="74"/>
        <v>8456852.7571944017</v>
      </c>
      <c r="Q354" s="415">
        <f t="shared" si="74"/>
        <v>8657305.7975610457</v>
      </c>
      <c r="R354" s="415">
        <f t="shared" si="74"/>
        <v>8255373.6609336603</v>
      </c>
    </row>
    <row r="355" spans="2:18" ht="15.45" hidden="1" customHeight="1" outlineLevel="1">
      <c r="B355" s="656"/>
      <c r="C355" s="635"/>
      <c r="D355" s="143" t="s">
        <v>117</v>
      </c>
      <c r="E355" s="143">
        <v>300</v>
      </c>
      <c r="F355" s="143" t="s">
        <v>118</v>
      </c>
      <c r="G355" s="415">
        <f t="shared" si="52"/>
        <v>89545.141605382567</v>
      </c>
      <c r="H355" s="415">
        <f t="shared" si="74"/>
        <v>233494.88859169936</v>
      </c>
      <c r="I355" s="415">
        <f t="shared" si="74"/>
        <v>343109.62746791338</v>
      </c>
      <c r="J355" s="415">
        <f t="shared" si="74"/>
        <v>228555.71541947211</v>
      </c>
      <c r="K355" s="415">
        <f t="shared" si="74"/>
        <v>242479.8609999771</v>
      </c>
      <c r="L355" s="415">
        <f t="shared" si="74"/>
        <v>349196.71275258623</v>
      </c>
      <c r="M355" s="415">
        <f t="shared" si="74"/>
        <v>275215.85875880654</v>
      </c>
      <c r="N355" s="415">
        <f t="shared" si="74"/>
        <v>314647.27690540021</v>
      </c>
      <c r="O355" s="415">
        <f t="shared" si="74"/>
        <v>329709.9480246848</v>
      </c>
      <c r="P355" s="415">
        <f t="shared" si="74"/>
        <v>345830.9073308105</v>
      </c>
      <c r="Q355" s="415">
        <f t="shared" si="74"/>
        <v>243077.70057946781</v>
      </c>
      <c r="R355" s="415">
        <f t="shared" si="74"/>
        <v>305256.05745605746</v>
      </c>
    </row>
    <row r="356" spans="2:18" ht="16.05" hidden="1" customHeight="1" outlineLevel="1">
      <c r="B356" s="656"/>
      <c r="C356" s="635"/>
      <c r="D356" s="143" t="s">
        <v>117</v>
      </c>
      <c r="E356" s="143">
        <v>209</v>
      </c>
      <c r="F356" s="143" t="s">
        <v>119</v>
      </c>
      <c r="G356" s="415">
        <f t="shared" si="52"/>
        <v>402953.13722422154</v>
      </c>
      <c r="H356" s="415">
        <f t="shared" si="74"/>
        <v>403859.67767527257</v>
      </c>
      <c r="I356" s="415">
        <f t="shared" si="74"/>
        <v>360151.49638188258</v>
      </c>
      <c r="J356" s="415">
        <f t="shared" si="74"/>
        <v>410228.20716315502</v>
      </c>
      <c r="K356" s="415">
        <f t="shared" si="74"/>
        <v>423903.64189204626</v>
      </c>
      <c r="L356" s="415">
        <f t="shared" si="74"/>
        <v>362721.9375422991</v>
      </c>
      <c r="M356" s="415">
        <f t="shared" si="74"/>
        <v>282712.01055379346</v>
      </c>
      <c r="N356" s="415">
        <f t="shared" si="74"/>
        <v>345420.36507085414</v>
      </c>
      <c r="O356" s="415">
        <f t="shared" si="74"/>
        <v>389583.48600664589</v>
      </c>
      <c r="P356" s="415">
        <f t="shared" si="74"/>
        <v>379406.72357652022</v>
      </c>
      <c r="Q356" s="415">
        <f t="shared" si="74"/>
        <v>410262.36342145473</v>
      </c>
      <c r="R356" s="415">
        <f t="shared" si="74"/>
        <v>390583.53808353806</v>
      </c>
    </row>
    <row r="357" spans="2:18" ht="16.05" hidden="1" customHeight="1" outlineLevel="1">
      <c r="B357" s="656"/>
      <c r="C357" s="635"/>
      <c r="D357" s="143" t="s">
        <v>117</v>
      </c>
      <c r="E357" s="143">
        <v>201</v>
      </c>
      <c r="F357" s="143" t="s">
        <v>121</v>
      </c>
      <c r="G357" s="415">
        <f t="shared" si="52"/>
        <v>260675.85667344704</v>
      </c>
      <c r="H357" s="415">
        <f t="shared" si="74"/>
        <v>246466.82684679376</v>
      </c>
      <c r="I357" s="415">
        <f t="shared" si="74"/>
        <v>218135.92209880587</v>
      </c>
      <c r="J357" s="415">
        <f t="shared" si="74"/>
        <v>216834.90950052481</v>
      </c>
      <c r="K357" s="415">
        <f t="shared" si="74"/>
        <v>205846.21293523235</v>
      </c>
      <c r="L357" s="415">
        <f t="shared" si="74"/>
        <v>154925.30213671082</v>
      </c>
      <c r="M357" s="415">
        <f t="shared" si="74"/>
        <v>148852.15707188367</v>
      </c>
      <c r="N357" s="415">
        <f t="shared" si="74"/>
        <v>150231.89797012639</v>
      </c>
      <c r="O357" s="415">
        <f t="shared" si="74"/>
        <v>174653.1206339997</v>
      </c>
      <c r="P357" s="415">
        <f t="shared" si="74"/>
        <v>214885.22397254244</v>
      </c>
      <c r="Q357" s="415">
        <f t="shared" si="74"/>
        <v>189182.64479487995</v>
      </c>
      <c r="R357" s="415">
        <f t="shared" si="74"/>
        <v>167049.57474957473</v>
      </c>
    </row>
    <row r="358" spans="2:18" ht="16.05" hidden="1" customHeight="1" outlineLevel="1">
      <c r="B358" s="656"/>
      <c r="C358" s="635"/>
      <c r="D358" s="143" t="s">
        <v>117</v>
      </c>
      <c r="E358" s="143">
        <v>206</v>
      </c>
      <c r="F358" s="143" t="s">
        <v>122</v>
      </c>
      <c r="G358" s="415">
        <f t="shared" si="52"/>
        <v>120388.46815834768</v>
      </c>
      <c r="H358" s="415">
        <f t="shared" si="74"/>
        <v>108099.48545912007</v>
      </c>
      <c r="I358" s="415">
        <f t="shared" si="74"/>
        <v>105659.58726660909</v>
      </c>
      <c r="J358" s="415">
        <f t="shared" si="74"/>
        <v>108417.4547502624</v>
      </c>
      <c r="K358" s="415">
        <f t="shared" si="74"/>
        <v>127345.53851077934</v>
      </c>
      <c r="L358" s="415">
        <f t="shared" si="74"/>
        <v>94676.573527989938</v>
      </c>
      <c r="M358" s="415">
        <f t="shared" si="74"/>
        <v>99591.730990540891</v>
      </c>
      <c r="N358" s="415">
        <f t="shared" si="74"/>
        <v>82334.327690540027</v>
      </c>
      <c r="O358" s="415">
        <f t="shared" si="74"/>
        <v>111437.06436520914</v>
      </c>
      <c r="P358" s="415">
        <f t="shared" si="74"/>
        <v>108561.8058611282</v>
      </c>
      <c r="Q358" s="415">
        <f t="shared" si="74"/>
        <v>103390.51517859717</v>
      </c>
      <c r="R358" s="415">
        <f t="shared" si="74"/>
        <v>93740.049140049145</v>
      </c>
    </row>
    <row r="359" spans="2:18" ht="16.05" hidden="1" customHeight="1" outlineLevel="1">
      <c r="B359" s="656"/>
      <c r="C359" s="635"/>
      <c r="D359" s="140" t="s">
        <v>117</v>
      </c>
      <c r="E359" s="140">
        <v>602</v>
      </c>
      <c r="F359" s="140" t="s">
        <v>126</v>
      </c>
      <c r="G359" s="415">
        <f t="shared" si="52"/>
        <v>197994.25754967923</v>
      </c>
      <c r="H359" s="415">
        <f t="shared" si="74"/>
        <v>189390.29852437836</v>
      </c>
      <c r="I359" s="415">
        <f t="shared" si="74"/>
        <v>212455.29912748278</v>
      </c>
      <c r="J359" s="415">
        <f t="shared" si="74"/>
        <v>269578.53613578761</v>
      </c>
      <c r="K359" s="415">
        <f t="shared" si="74"/>
        <v>306152.63025536673</v>
      </c>
      <c r="L359" s="415">
        <f t="shared" si="74"/>
        <v>284029.72058396979</v>
      </c>
      <c r="M359" s="415">
        <f t="shared" si="74"/>
        <v>231309.82681674013</v>
      </c>
      <c r="N359" s="415">
        <f t="shared" si="74"/>
        <v>199698.73611643049</v>
      </c>
      <c r="O359" s="415">
        <f t="shared" si="74"/>
        <v>204494.3028588006</v>
      </c>
      <c r="P359" s="415">
        <f t="shared" si="74"/>
        <v>237269.10146968227</v>
      </c>
      <c r="Q359" s="415">
        <f t="shared" si="74"/>
        <v>228779.01231008736</v>
      </c>
      <c r="R359" s="415">
        <f t="shared" si="74"/>
        <v>227139.34983934983</v>
      </c>
    </row>
    <row r="360" spans="2:18" ht="16.05" hidden="1" customHeight="1" outlineLevel="1">
      <c r="B360" s="656"/>
      <c r="C360" s="635"/>
      <c r="D360" s="140" t="s">
        <v>117</v>
      </c>
      <c r="E360" s="140">
        <v>220</v>
      </c>
      <c r="F360" s="140" t="s">
        <v>145</v>
      </c>
      <c r="G360" s="415">
        <f t="shared" si="52"/>
        <v>275600.04694101081</v>
      </c>
      <c r="H360" s="415">
        <f t="shared" si="74"/>
        <v>199767.84912845388</v>
      </c>
      <c r="I360" s="415">
        <f t="shared" si="74"/>
        <v>185188.30886513207</v>
      </c>
      <c r="J360" s="415">
        <f t="shared" si="74"/>
        <v>126975.39745526228</v>
      </c>
      <c r="K360" s="415">
        <f t="shared" si="74"/>
        <v>138684.52481653367</v>
      </c>
      <c r="L360" s="415">
        <f t="shared" si="74"/>
        <v>131563.55022720678</v>
      </c>
      <c r="M360" s="415">
        <f t="shared" si="74"/>
        <v>169198.85480113397</v>
      </c>
      <c r="N360" s="415">
        <f t="shared" si="74"/>
        <v>126638.22290310226</v>
      </c>
      <c r="O360" s="415">
        <f t="shared" si="74"/>
        <v>150031.98201909382</v>
      </c>
      <c r="P360" s="415">
        <f t="shared" si="74"/>
        <v>189143.76485083162</v>
      </c>
      <c r="Q360" s="415">
        <f t="shared" si="74"/>
        <v>157285.57096318505</v>
      </c>
      <c r="R360" s="415">
        <f t="shared" si="74"/>
        <v>175462.14326214325</v>
      </c>
    </row>
    <row r="361" spans="2:18" ht="16.05" customHeight="1" collapsed="1">
      <c r="B361" s="656"/>
      <c r="C361" s="635"/>
      <c r="D361" s="140" t="s">
        <v>117</v>
      </c>
      <c r="E361" s="140"/>
      <c r="F361" s="140" t="s">
        <v>95</v>
      </c>
      <c r="G361" s="415">
        <f t="shared" si="52"/>
        <v>1347156.9081520888</v>
      </c>
      <c r="H361" s="415">
        <f t="shared" si="74"/>
        <v>1381079.026225718</v>
      </c>
      <c r="I361" s="415">
        <f t="shared" si="74"/>
        <v>1424700.2412078257</v>
      </c>
      <c r="J361" s="415">
        <f t="shared" si="74"/>
        <v>1360590.2204244642</v>
      </c>
      <c r="K361" s="415">
        <f t="shared" si="74"/>
        <v>1444412.4094099356</v>
      </c>
      <c r="L361" s="415">
        <f t="shared" si="74"/>
        <v>1377113.7967707627</v>
      </c>
      <c r="M361" s="415">
        <f t="shared" si="74"/>
        <v>1206880.4389928987</v>
      </c>
      <c r="N361" s="415">
        <f t="shared" si="74"/>
        <v>1218970.8266564533</v>
      </c>
      <c r="O361" s="415">
        <f t="shared" si="74"/>
        <v>1359909.9039084339</v>
      </c>
      <c r="P361" s="415">
        <f t="shared" si="74"/>
        <v>1475097.5270615153</v>
      </c>
      <c r="Q361" s="415">
        <f t="shared" si="74"/>
        <v>1331977.807247672</v>
      </c>
      <c r="R361" s="415">
        <f t="shared" si="74"/>
        <v>1359230.7125307126</v>
      </c>
    </row>
    <row r="362" spans="2:18" ht="16.05" customHeight="1">
      <c r="B362" s="656"/>
      <c r="C362" s="635"/>
      <c r="D362" s="134" t="s">
        <v>128</v>
      </c>
      <c r="E362" s="134"/>
      <c r="F362" s="134" t="s">
        <v>36</v>
      </c>
      <c r="G362" s="135">
        <f t="shared" si="52"/>
        <v>13574048.52135816</v>
      </c>
      <c r="H362" s="135">
        <f t="shared" si="74"/>
        <v>13370609.157467643</v>
      </c>
      <c r="I362" s="135">
        <f t="shared" si="74"/>
        <v>12856385.908698371</v>
      </c>
      <c r="J362" s="135">
        <f t="shared" si="74"/>
        <v>12539699.55915107</v>
      </c>
      <c r="K362" s="135">
        <f t="shared" si="74"/>
        <v>12428401.220822567</v>
      </c>
      <c r="L362" s="135">
        <f t="shared" si="74"/>
        <v>11915723.03973702</v>
      </c>
      <c r="M362" s="135">
        <f t="shared" si="74"/>
        <v>11742186.347433127</v>
      </c>
      <c r="N362" s="135">
        <f t="shared" si="74"/>
        <v>10626125.611183453</v>
      </c>
      <c r="O362" s="135">
        <f t="shared" si="74"/>
        <v>10262344.53363785</v>
      </c>
      <c r="P362" s="135">
        <f t="shared" si="74"/>
        <v>10294569.099709582</v>
      </c>
      <c r="Q362" s="135">
        <f t="shared" si="74"/>
        <v>10233461.20448583</v>
      </c>
      <c r="R362" s="135">
        <f t="shared" si="74"/>
        <v>9839340.1323001329</v>
      </c>
    </row>
    <row r="363" spans="2:18" ht="16.05" customHeight="1">
      <c r="B363" s="656"/>
      <c r="C363" s="636"/>
      <c r="D363" s="130" t="s">
        <v>132</v>
      </c>
      <c r="E363" s="130"/>
      <c r="F363" s="130" t="s">
        <v>36</v>
      </c>
      <c r="G363" s="131">
        <f t="shared" si="52"/>
        <v>17455332.936942574</v>
      </c>
      <c r="H363" s="131">
        <f t="shared" si="74"/>
        <v>17368560.52768774</v>
      </c>
      <c r="I363" s="131">
        <f t="shared" si="74"/>
        <v>17241826.842559781</v>
      </c>
      <c r="J363" s="131">
        <f t="shared" si="74"/>
        <v>16692381.096234094</v>
      </c>
      <c r="K363" s="131">
        <f t="shared" si="74"/>
        <v>16892472.906426463</v>
      </c>
      <c r="L363" s="131">
        <f t="shared" si="74"/>
        <v>16677216.948660929</v>
      </c>
      <c r="M363" s="131">
        <f t="shared" si="74"/>
        <v>16262901.319224184</v>
      </c>
      <c r="N363" s="131">
        <f t="shared" si="74"/>
        <v>15275764.861891994</v>
      </c>
      <c r="O363" s="131">
        <f t="shared" si="74"/>
        <v>14778206.071675722</v>
      </c>
      <c r="P363" s="131">
        <f t="shared" si="74"/>
        <v>14998317.116958547</v>
      </c>
      <c r="Q363" s="131">
        <f t="shared" si="74"/>
        <v>15009223.086458905</v>
      </c>
      <c r="R363" s="131">
        <f t="shared" si="74"/>
        <v>15587287.658287657</v>
      </c>
    </row>
    <row r="364" spans="2:18" ht="14.4" hidden="1" customHeight="1" outlineLevel="1">
      <c r="B364" s="656"/>
      <c r="C364" s="637" t="s">
        <v>802</v>
      </c>
      <c r="D364" s="118" t="s">
        <v>74</v>
      </c>
      <c r="E364" s="118">
        <v>105</v>
      </c>
      <c r="F364" s="118" t="s">
        <v>75</v>
      </c>
      <c r="G364" s="119">
        <f>G270*'Données Energie'!G$9</f>
        <v>201441</v>
      </c>
      <c r="H364" s="119">
        <f>H270*'Données Energie'!H$9</f>
        <v>219120</v>
      </c>
      <c r="I364" s="119">
        <f>I270*'Données Energie'!I$9</f>
        <v>168075</v>
      </c>
      <c r="J364" s="119">
        <f>J270*'Données Energie'!J$9</f>
        <v>185455.2</v>
      </c>
      <c r="K364" s="119">
        <f>K270*'Données Energie'!K$9</f>
        <v>221112</v>
      </c>
      <c r="L364" s="119">
        <f>L270*'Données Energie'!L$9</f>
        <v>162597</v>
      </c>
      <c r="M364" s="119">
        <f>M270*'Données Energie'!M$9</f>
        <v>191854.5</v>
      </c>
      <c r="N364" s="119">
        <f>N270*'Données Energie'!N$9</f>
        <v>247506</v>
      </c>
      <c r="O364" s="122">
        <f>O270*'Données Energie'!O$11</f>
        <v>89110.179000000018</v>
      </c>
      <c r="P364" s="122">
        <f>P270*'Données Energie'!P$11</f>
        <v>87567</v>
      </c>
      <c r="Q364" s="122">
        <f>Q270*'Données Energie'!Q$11</f>
        <v>95041</v>
      </c>
      <c r="R364" s="122">
        <f>R270*'Données Energie'!R$11</f>
        <v>78477</v>
      </c>
    </row>
    <row r="365" spans="2:18" ht="14.4" hidden="1" customHeight="1" outlineLevel="1">
      <c r="B365" s="656"/>
      <c r="C365" s="637"/>
      <c r="D365" s="118" t="s">
        <v>74</v>
      </c>
      <c r="E365" s="118">
        <v>102</v>
      </c>
      <c r="F365" s="118" t="s">
        <v>76</v>
      </c>
      <c r="G365" s="119">
        <f>G271*'Données Energie'!G$9</f>
        <v>201441</v>
      </c>
      <c r="H365" s="119">
        <f>H271*'Données Energie'!H$9</f>
        <v>219120</v>
      </c>
      <c r="I365" s="119">
        <f>I271*'Données Energie'!I$9</f>
        <v>168075</v>
      </c>
      <c r="J365" s="119">
        <f>J271*'Données Energie'!J$9</f>
        <v>185455.2</v>
      </c>
      <c r="K365" s="119">
        <f>K271*'Données Energie'!K$9</f>
        <v>225345</v>
      </c>
      <c r="L365" s="119">
        <f>L271*'Données Energie'!L$9</f>
        <v>168822</v>
      </c>
      <c r="M365" s="119">
        <f>M271*'Données Energie'!M$9</f>
        <v>185878.5</v>
      </c>
      <c r="N365" s="119">
        <f>N271*'Données Energie'!N$9</f>
        <v>250992</v>
      </c>
      <c r="O365" s="122">
        <f>O271*'Données Energie'!O$11</f>
        <v>95050.857600000018</v>
      </c>
      <c r="P365" s="122">
        <f>P271*'Données Energie'!P$11</f>
        <v>93404.800000000017</v>
      </c>
      <c r="Q365" s="122">
        <f>Q271*'Données Energie'!Q$11</f>
        <v>100192</v>
      </c>
      <c r="R365" s="122">
        <f>R271*'Données Energie'!R$11</f>
        <v>83708.800000000017</v>
      </c>
    </row>
    <row r="366" spans="2:18" ht="14.4" hidden="1" customHeight="1" outlineLevel="1">
      <c r="B366" s="656"/>
      <c r="C366" s="637"/>
      <c r="D366" s="118" t="s">
        <v>74</v>
      </c>
      <c r="E366" s="118">
        <v>706</v>
      </c>
      <c r="F366" s="118" t="s">
        <v>77</v>
      </c>
      <c r="G366" s="119">
        <f>G272*'Données Energie'!G$9</f>
        <v>197955</v>
      </c>
      <c r="H366" s="119">
        <f>H272*'Données Energie'!H$9</f>
        <v>202935</v>
      </c>
      <c r="I366" s="119">
        <f>I272*'Données Energie'!I$9</f>
        <v>157617</v>
      </c>
      <c r="J366" s="119">
        <f>J272*'Données Energie'!J$9</f>
        <v>157617</v>
      </c>
      <c r="K366" s="119">
        <f>K272*'Données Energie'!K$9</f>
        <v>184011</v>
      </c>
      <c r="L366" s="119">
        <f>L272*'Données Energie'!L$9</f>
        <v>153757.5</v>
      </c>
      <c r="M366" s="119">
        <f>M272*'Données Energie'!M$9</f>
        <v>157990.5</v>
      </c>
      <c r="N366" s="119">
        <f>N272*'Données Energie'!N$9</f>
        <v>163842</v>
      </c>
      <c r="O366" s="122">
        <f>O272*'Données Energie'!O$11</f>
        <v>73765.046999999977</v>
      </c>
      <c r="P366" s="122">
        <f>P272*'Données Energie'!P$11</f>
        <v>66458</v>
      </c>
      <c r="Q366" s="122">
        <f>Q272*'Données Energie'!Q$11</f>
        <v>63529.000000000007</v>
      </c>
      <c r="R366" s="122">
        <f>R272*'Données Energie'!R$11</f>
        <v>61812.000000000007</v>
      </c>
    </row>
    <row r="367" spans="2:18" ht="14.4" hidden="1" customHeight="1" outlineLevel="1">
      <c r="B367" s="656"/>
      <c r="C367" s="637"/>
      <c r="D367" s="118" t="s">
        <v>74</v>
      </c>
      <c r="E367" s="118">
        <v>703</v>
      </c>
      <c r="F367" s="118" t="s">
        <v>78</v>
      </c>
      <c r="G367" s="119">
        <f>G273*'Données Energie'!G$9</f>
        <v>89640</v>
      </c>
      <c r="H367" s="119">
        <f>H273*'Données Energie'!H$9</f>
        <v>157119</v>
      </c>
      <c r="I367" s="119">
        <f>I273*'Données Energie'!I$9</f>
        <v>139689</v>
      </c>
      <c r="J367" s="119">
        <f>J273*'Données Energie'!J$9</f>
        <v>184758</v>
      </c>
      <c r="K367" s="119">
        <f>K273*'Données Energie'!K$9</f>
        <v>224100</v>
      </c>
      <c r="L367" s="119">
        <f>L273*'Données Energie'!L$9</f>
        <v>158364</v>
      </c>
      <c r="M367" s="119">
        <f>M273*'Données Energie'!M$9</f>
        <v>168573</v>
      </c>
      <c r="N367" s="119">
        <f>N273*'Données Energie'!N$9</f>
        <v>156870</v>
      </c>
      <c r="O367" s="122">
        <f>O273*'Données Energie'!O$11</f>
        <v>65118.639000000003</v>
      </c>
      <c r="P367" s="122">
        <f>P273*'Données Energie'!P$11</f>
        <v>65751</v>
      </c>
      <c r="Q367" s="122">
        <f>Q273*'Données Energie'!Q$11</f>
        <v>46763</v>
      </c>
      <c r="R367" s="122">
        <f>R273*'Données Energie'!R$11</f>
        <v>54439</v>
      </c>
    </row>
    <row r="368" spans="2:18" ht="14.4" hidden="1" customHeight="1" outlineLevel="1">
      <c r="B368" s="656"/>
      <c r="C368" s="637"/>
      <c r="D368" s="118" t="s">
        <v>74</v>
      </c>
      <c r="E368" s="118">
        <v>605</v>
      </c>
      <c r="F368" s="118" t="s">
        <v>79</v>
      </c>
      <c r="G368" s="119">
        <f>G274*'Données Energie'!G$9</f>
        <v>71961</v>
      </c>
      <c r="H368" s="119">
        <f>H274*'Données Energie'!H$9</f>
        <v>85407</v>
      </c>
      <c r="I368" s="119">
        <f>I274*'Données Energie'!I$9</f>
        <v>67479</v>
      </c>
      <c r="J368" s="119">
        <f>J274*'Données Energie'!J$9</f>
        <v>72957</v>
      </c>
      <c r="K368" s="119">
        <f>K274*'Données Energie'!K$9</f>
        <v>87399</v>
      </c>
      <c r="L368" s="119">
        <f>L274*'Données Energie'!L$9</f>
        <v>78186</v>
      </c>
      <c r="M368" s="119">
        <f>M274*'Données Energie'!M$9</f>
        <v>74949</v>
      </c>
      <c r="N368" s="119">
        <f>N274*'Données Energie'!N$9</f>
        <v>85182.9</v>
      </c>
      <c r="O368" s="122">
        <f>O274*'Données Energie'!O$11</f>
        <v>29474.527000000002</v>
      </c>
      <c r="P368" s="122">
        <f>P274*'Données Energie'!P$11</f>
        <v>24543</v>
      </c>
      <c r="Q368" s="122">
        <f>Q274*'Données Energie'!Q$11</f>
        <v>32825</v>
      </c>
      <c r="R368" s="122">
        <f>R274*'Données Energie'!R$11</f>
        <v>32320.000000000004</v>
      </c>
    </row>
    <row r="369" spans="2:20" ht="16.05" hidden="1" customHeight="1" outlineLevel="1">
      <c r="B369" s="656"/>
      <c r="C369" s="637"/>
      <c r="D369" s="118" t="s">
        <v>74</v>
      </c>
      <c r="E369" s="118">
        <v>607</v>
      </c>
      <c r="F369" s="118" t="s">
        <v>80</v>
      </c>
      <c r="G369" s="119">
        <f>G275*'Données Energie'!G$9</f>
        <v>0</v>
      </c>
      <c r="H369" s="119">
        <f>H275*'Données Energie'!H$9</f>
        <v>0</v>
      </c>
      <c r="I369" s="119">
        <f>I275*'Données Energie'!I$9</f>
        <v>0</v>
      </c>
      <c r="J369" s="119">
        <f>J275*'Données Energie'!J$9</f>
        <v>0</v>
      </c>
      <c r="K369" s="119">
        <f>K275*'Données Energie'!K$9</f>
        <v>0</v>
      </c>
      <c r="L369" s="119">
        <f>L275*'Données Energie'!L$9</f>
        <v>0</v>
      </c>
      <c r="M369" s="119">
        <f>M275*'Données Energie'!M$9</f>
        <v>0</v>
      </c>
      <c r="N369" s="119">
        <f>N275*'Données Energie'!N$9</f>
        <v>0</v>
      </c>
      <c r="O369" s="122">
        <f>O275*'Données Energie'!O$11</f>
        <v>36585.331000000006</v>
      </c>
      <c r="P369" s="122">
        <f>P275*'Données Energie'!P$11</f>
        <v>33330</v>
      </c>
      <c r="Q369" s="122">
        <f>Q275*'Données Energie'!Q$11</f>
        <v>0</v>
      </c>
      <c r="R369" s="122">
        <f>R275*'Données Energie'!R$11</f>
        <v>28381</v>
      </c>
    </row>
    <row r="370" spans="2:20" ht="16.05" hidden="1" customHeight="1" outlineLevel="1">
      <c r="B370" s="656"/>
      <c r="C370" s="637"/>
      <c r="D370" s="118" t="s">
        <v>74</v>
      </c>
      <c r="E370" s="118" t="s">
        <v>947</v>
      </c>
      <c r="F370" s="118" t="s">
        <v>82</v>
      </c>
      <c r="G370" s="119">
        <f>G276*'Données Energie'!G$9</f>
        <v>0</v>
      </c>
      <c r="H370" s="119">
        <f>H276*'Données Energie'!H$9</f>
        <v>0</v>
      </c>
      <c r="I370" s="119">
        <f>I276*'Données Energie'!I$9</f>
        <v>0</v>
      </c>
      <c r="J370" s="119">
        <f>J276*'Données Energie'!J$9</f>
        <v>0</v>
      </c>
      <c r="K370" s="119">
        <f>K276*'Données Energie'!K$9</f>
        <v>0</v>
      </c>
      <c r="L370" s="119">
        <f>L276*'Données Energie'!L$9</f>
        <v>0</v>
      </c>
      <c r="M370" s="119">
        <f>M276*'Données Energie'!M$9</f>
        <v>0</v>
      </c>
      <c r="N370" s="119">
        <f>N276*'Données Energie'!N$9</f>
        <v>0</v>
      </c>
      <c r="O370" s="122">
        <f>O276*'Données Energie'!O$11</f>
        <v>0</v>
      </c>
      <c r="P370" s="122">
        <f>P276*'Données Energie'!P$11</f>
        <v>0</v>
      </c>
      <c r="Q370" s="122">
        <f>Q276*'Données Energie'!Q$11</f>
        <v>0</v>
      </c>
      <c r="R370" s="122">
        <f>R276*'Données Energie'!R$11</f>
        <v>25654</v>
      </c>
    </row>
    <row r="371" spans="2:20" ht="14.4" hidden="1" customHeight="1" outlineLevel="1">
      <c r="B371" s="656"/>
      <c r="C371" s="637"/>
      <c r="D371" s="118" t="s">
        <v>74</v>
      </c>
      <c r="E371" s="118">
        <v>603</v>
      </c>
      <c r="F371" s="118" t="s">
        <v>83</v>
      </c>
      <c r="G371" s="119">
        <f>G277*'Données Energie'!G$9</f>
        <v>87150</v>
      </c>
      <c r="H371" s="119">
        <f>H277*'Données Energie'!H$9</f>
        <v>91881</v>
      </c>
      <c r="I371" s="119">
        <f>I277*'Données Energie'!I$9</f>
        <v>81174</v>
      </c>
      <c r="J371" s="119">
        <f>J277*'Données Energie'!J$9</f>
        <v>105576</v>
      </c>
      <c r="K371" s="119">
        <f>K277*'Données Energie'!K$9</f>
        <v>140685</v>
      </c>
      <c r="L371" s="119">
        <f>L277*'Données Energie'!L$9</f>
        <v>96861</v>
      </c>
      <c r="M371" s="119">
        <f>M277*'Données Energie'!M$9</f>
        <v>101841</v>
      </c>
      <c r="N371" s="119">
        <f>N277*'Données Energie'!N$9</f>
        <v>114283.53</v>
      </c>
      <c r="O371" s="122">
        <f>O277*'Données Energie'!O$11</f>
        <v>0</v>
      </c>
      <c r="P371" s="122">
        <f>P277*'Données Energie'!P$11</f>
        <v>0</v>
      </c>
      <c r="Q371" s="122">
        <f>Q277*'Données Energie'!Q$11</f>
        <v>34946</v>
      </c>
      <c r="R371" s="122">
        <f>R277*'Données Energie'!R$11</f>
        <v>16059.000000000002</v>
      </c>
    </row>
    <row r="372" spans="2:20" ht="14.4" hidden="1" customHeight="1" outlineLevel="1">
      <c r="B372" s="656"/>
      <c r="C372" s="637"/>
      <c r="D372" s="118" t="s">
        <v>74</v>
      </c>
      <c r="E372" s="118">
        <v>707</v>
      </c>
      <c r="F372" s="118" t="s">
        <v>85</v>
      </c>
      <c r="G372" s="119">
        <f>G278*'Données Energie'!G$9</f>
        <v>121761</v>
      </c>
      <c r="H372" s="119">
        <f>H278*'Données Energie'!H$9</f>
        <v>175545</v>
      </c>
      <c r="I372" s="119">
        <f>I278*'Données Energie'!I$9</f>
        <v>179031</v>
      </c>
      <c r="J372" s="119">
        <f>J278*'Données Energie'!J$9</f>
        <v>166830</v>
      </c>
      <c r="K372" s="119">
        <f>K278*'Données Energie'!K$9</f>
        <v>191730</v>
      </c>
      <c r="L372" s="119">
        <f>L278*'Données Energie'!L$9</f>
        <v>145665</v>
      </c>
      <c r="M372" s="119">
        <f>M278*'Données Energie'!M$9</f>
        <v>170067</v>
      </c>
      <c r="N372" s="119">
        <f>N278*'Données Energie'!N$9</f>
        <v>169818</v>
      </c>
      <c r="O372" s="122">
        <f>O278*'Données Energie'!O$11</f>
        <v>64197.619999999995</v>
      </c>
      <c r="P372" s="122">
        <f>P278*'Données Energie'!P$11</f>
        <v>53429</v>
      </c>
      <c r="Q372" s="122">
        <f>Q278*'Données Energie'!Q$11</f>
        <v>65246.000000000007</v>
      </c>
      <c r="R372" s="122">
        <f>R278*'Données Energie'!R$11</f>
        <v>58176.000000000007</v>
      </c>
    </row>
    <row r="373" spans="2:20" ht="14.4" collapsed="1">
      <c r="B373" s="656"/>
      <c r="C373" s="637"/>
      <c r="D373" s="133" t="s">
        <v>74</v>
      </c>
      <c r="E373" s="133"/>
      <c r="F373" s="133" t="s">
        <v>36</v>
      </c>
      <c r="G373" s="136">
        <f t="shared" ref="G373:R373" si="75">SUM(G364:G372)</f>
        <v>971349</v>
      </c>
      <c r="H373" s="136">
        <f t="shared" si="75"/>
        <v>1151127</v>
      </c>
      <c r="I373" s="136">
        <f t="shared" si="75"/>
        <v>961140</v>
      </c>
      <c r="J373" s="136">
        <f t="shared" si="75"/>
        <v>1058648.3999999999</v>
      </c>
      <c r="K373" s="136">
        <f t="shared" si="75"/>
        <v>1274382</v>
      </c>
      <c r="L373" s="136">
        <f t="shared" si="75"/>
        <v>964252.5</v>
      </c>
      <c r="M373" s="136">
        <f t="shared" si="75"/>
        <v>1051153.5</v>
      </c>
      <c r="N373" s="136">
        <f t="shared" si="75"/>
        <v>1188494.4300000002</v>
      </c>
      <c r="O373" s="136">
        <f t="shared" si="75"/>
        <v>453302.20060000004</v>
      </c>
      <c r="P373" s="136">
        <f t="shared" si="75"/>
        <v>424482.80000000005</v>
      </c>
      <c r="Q373" s="136">
        <f t="shared" si="75"/>
        <v>438542</v>
      </c>
      <c r="R373" s="136">
        <f t="shared" si="75"/>
        <v>439026.80000000005</v>
      </c>
    </row>
    <row r="374" spans="2:20" ht="16.05" hidden="1" customHeight="1" outlineLevel="1">
      <c r="B374" s="656"/>
      <c r="C374" s="637"/>
      <c r="D374" s="140" t="s">
        <v>129</v>
      </c>
      <c r="E374" s="140">
        <v>704</v>
      </c>
      <c r="F374" s="140" t="s">
        <v>130</v>
      </c>
      <c r="G374" s="256">
        <f t="shared" ref="G374:N375" si="76">G280*G$9</f>
        <v>0</v>
      </c>
      <c r="H374" s="256">
        <f t="shared" si="76"/>
        <v>0</v>
      </c>
      <c r="I374" s="256">
        <f t="shared" si="76"/>
        <v>0</v>
      </c>
      <c r="J374" s="256">
        <f t="shared" si="76"/>
        <v>0</v>
      </c>
      <c r="K374" s="256">
        <f t="shared" si="76"/>
        <v>0</v>
      </c>
      <c r="L374" s="256">
        <f t="shared" si="76"/>
        <v>0</v>
      </c>
      <c r="M374" s="256">
        <f t="shared" si="76"/>
        <v>0</v>
      </c>
      <c r="N374" s="256">
        <f t="shared" si="76"/>
        <v>0</v>
      </c>
      <c r="O374" s="256">
        <f t="shared" ref="O374:R375" si="77">O280*O$11</f>
        <v>0</v>
      </c>
      <c r="P374" s="256">
        <f t="shared" si="77"/>
        <v>0</v>
      </c>
      <c r="Q374" s="256">
        <f t="shared" si="77"/>
        <v>0</v>
      </c>
      <c r="R374" s="256">
        <f t="shared" si="77"/>
        <v>36360</v>
      </c>
      <c r="T374" s="158"/>
    </row>
    <row r="375" spans="2:20" ht="16.05" hidden="1" customHeight="1" outlineLevel="1">
      <c r="B375" s="656"/>
      <c r="C375" s="637"/>
      <c r="D375" s="140" t="s">
        <v>129</v>
      </c>
      <c r="E375" s="140">
        <v>608</v>
      </c>
      <c r="F375" s="140" t="s">
        <v>131</v>
      </c>
      <c r="G375" s="256">
        <f t="shared" si="76"/>
        <v>0</v>
      </c>
      <c r="H375" s="256">
        <f t="shared" si="76"/>
        <v>0</v>
      </c>
      <c r="I375" s="256">
        <f t="shared" si="76"/>
        <v>0</v>
      </c>
      <c r="J375" s="256">
        <f t="shared" si="76"/>
        <v>0</v>
      </c>
      <c r="K375" s="256">
        <f t="shared" si="76"/>
        <v>0</v>
      </c>
      <c r="L375" s="256">
        <f t="shared" si="76"/>
        <v>0</v>
      </c>
      <c r="M375" s="256">
        <f t="shared" si="76"/>
        <v>0</v>
      </c>
      <c r="N375" s="256">
        <f t="shared" si="76"/>
        <v>0</v>
      </c>
      <c r="O375" s="256">
        <f t="shared" si="77"/>
        <v>0</v>
      </c>
      <c r="P375" s="256">
        <f t="shared" si="77"/>
        <v>0</v>
      </c>
      <c r="Q375" s="256">
        <f t="shared" si="77"/>
        <v>0</v>
      </c>
      <c r="R375" s="256">
        <f t="shared" si="77"/>
        <v>7676.0000000000009</v>
      </c>
      <c r="T375" s="158"/>
    </row>
    <row r="376" spans="2:20" ht="16.05" customHeight="1" collapsed="1">
      <c r="B376" s="656"/>
      <c r="C376" s="637"/>
      <c r="D376" s="382" t="s">
        <v>129</v>
      </c>
      <c r="E376" s="382"/>
      <c r="F376" s="382" t="s">
        <v>36</v>
      </c>
      <c r="G376" s="136">
        <f>SUM(G374:G375)</f>
        <v>0</v>
      </c>
      <c r="H376" s="136">
        <f t="shared" ref="H376:R376" si="78">SUM(H374:H375)</f>
        <v>0</v>
      </c>
      <c r="I376" s="136">
        <f t="shared" si="78"/>
        <v>0</v>
      </c>
      <c r="J376" s="136">
        <f t="shared" si="78"/>
        <v>0</v>
      </c>
      <c r="K376" s="136">
        <f t="shared" si="78"/>
        <v>0</v>
      </c>
      <c r="L376" s="136">
        <f t="shared" si="78"/>
        <v>0</v>
      </c>
      <c r="M376" s="136">
        <f t="shared" si="78"/>
        <v>0</v>
      </c>
      <c r="N376" s="136">
        <f t="shared" si="78"/>
        <v>0</v>
      </c>
      <c r="O376" s="136">
        <f t="shared" si="78"/>
        <v>0</v>
      </c>
      <c r="P376" s="136">
        <f t="shared" si="78"/>
        <v>0</v>
      </c>
      <c r="Q376" s="136">
        <f t="shared" si="78"/>
        <v>0</v>
      </c>
      <c r="R376" s="136">
        <f t="shared" si="78"/>
        <v>44036</v>
      </c>
      <c r="T376" s="158"/>
    </row>
    <row r="377" spans="2:20" ht="14.4" hidden="1" customHeight="1" outlineLevel="1">
      <c r="B377" s="656"/>
      <c r="C377" s="637"/>
      <c r="D377" s="121" t="s">
        <v>90</v>
      </c>
      <c r="E377" s="121" t="s">
        <v>141</v>
      </c>
      <c r="F377" s="121" t="s">
        <v>142</v>
      </c>
      <c r="G377" s="122">
        <f>G283*'Données Energie'!G$9</f>
        <v>189738</v>
      </c>
      <c r="H377" s="122">
        <f>H283*'Données Energie'!H$9</f>
        <v>253731</v>
      </c>
      <c r="I377" s="122">
        <f>I283*'Données Energie'!I$9</f>
        <v>177786</v>
      </c>
      <c r="J377" s="122">
        <f>J283*'Données Energie'!J$9</f>
        <v>218373</v>
      </c>
      <c r="K377" s="122">
        <f>K283*'Données Energie'!K$9</f>
        <v>220116</v>
      </c>
      <c r="L377" s="122">
        <f>L283*'Données Energie'!L$9</f>
        <v>115536</v>
      </c>
      <c r="M377" s="122">
        <f>M283*'Données Energie'!M$9</f>
        <v>103335</v>
      </c>
      <c r="N377" s="122">
        <f>N283*'Données Energie'!N$9</f>
        <v>104082</v>
      </c>
      <c r="O377" s="119">
        <f>O283*'Données Energie'!O$11</f>
        <v>38192.544000000024</v>
      </c>
      <c r="P377" s="119">
        <f>P283*'Données Energie'!P$11</f>
        <v>17675</v>
      </c>
      <c r="Q377" s="119">
        <f>Q283*'Données Energie'!Q$11</f>
        <v>8383</v>
      </c>
      <c r="R377" s="119">
        <f>R283*'Données Energie'!R$11</f>
        <v>9292</v>
      </c>
    </row>
    <row r="378" spans="2:20" ht="14.4" hidden="1" customHeight="1" outlineLevel="1">
      <c r="B378" s="656"/>
      <c r="C378" s="637"/>
      <c r="D378" s="121" t="s">
        <v>90</v>
      </c>
      <c r="E378" s="121">
        <v>301</v>
      </c>
      <c r="F378" s="121" t="s">
        <v>92</v>
      </c>
      <c r="G378" s="122">
        <f>G284*'Données Energie'!G$9</f>
        <v>21663</v>
      </c>
      <c r="H378" s="122">
        <f>H284*'Données Energie'!H$9</f>
        <v>23655</v>
      </c>
      <c r="I378" s="122">
        <f>I284*'Données Energie'!I$9</f>
        <v>11205</v>
      </c>
      <c r="J378" s="122">
        <f>J284*'Données Energie'!J$9</f>
        <v>22908</v>
      </c>
      <c r="K378" s="122">
        <f>K284*'Données Energie'!K$9</f>
        <v>28884</v>
      </c>
      <c r="L378" s="122">
        <f>L284*'Données Energie'!L$9</f>
        <v>17679</v>
      </c>
      <c r="M378" s="122">
        <f>M284*'Données Energie'!M$9</f>
        <v>21165</v>
      </c>
      <c r="N378" s="122">
        <f>N284*'Données Energie'!N$9</f>
        <v>16683</v>
      </c>
      <c r="O378" s="119">
        <f>O284*'Données Energie'!O$11</f>
        <v>8225.0360000000001</v>
      </c>
      <c r="P378" s="119">
        <f>P284*'Données Energie'!P$11</f>
        <v>6363</v>
      </c>
      <c r="Q378" s="119">
        <f>Q284*'Données Energie'!Q$11</f>
        <v>5454</v>
      </c>
      <c r="R378" s="119">
        <f>R284*'Données Energie'!R$11</f>
        <v>3737.0000000000005</v>
      </c>
    </row>
    <row r="379" spans="2:20" ht="14.4" hidden="1" customHeight="1" outlineLevel="1">
      <c r="B379" s="656"/>
      <c r="C379" s="637"/>
      <c r="D379" s="121" t="s">
        <v>90</v>
      </c>
      <c r="E379" s="121">
        <v>402</v>
      </c>
      <c r="F379" s="121" t="s">
        <v>93</v>
      </c>
      <c r="G379" s="122">
        <f>G285*'Données Energie'!G$9</f>
        <v>28884</v>
      </c>
      <c r="H379" s="122">
        <f>H285*'Données Energie'!H$9</f>
        <v>27888</v>
      </c>
      <c r="I379" s="122">
        <f>I285*'Données Energie'!I$9</f>
        <v>18924</v>
      </c>
      <c r="J379" s="122">
        <f>J285*'Données Energie'!J$9</f>
        <v>28635</v>
      </c>
      <c r="K379" s="122">
        <f>K285*'Données Energie'!K$9</f>
        <v>31623</v>
      </c>
      <c r="L379" s="122">
        <f>L285*'Données Energie'!L$9</f>
        <v>19422</v>
      </c>
      <c r="M379" s="122">
        <f>M285*'Données Energie'!M$9</f>
        <v>21414</v>
      </c>
      <c r="N379" s="122">
        <f>N285*'Données Energie'!N$9</f>
        <v>18059.97</v>
      </c>
      <c r="O379" s="119">
        <f>O285*'Données Energie'!O$11</f>
        <v>5463.09</v>
      </c>
      <c r="P379" s="119">
        <f>P285*'Données Energie'!P$11</f>
        <v>3737.0000000000005</v>
      </c>
      <c r="Q379" s="119">
        <f>Q285*'Données Energie'!Q$11</f>
        <v>3636.0000000000005</v>
      </c>
      <c r="R379" s="119">
        <f>R285*'Données Energie'!R$11</f>
        <v>4545</v>
      </c>
    </row>
    <row r="380" spans="2:20" ht="28.8" hidden="1" customHeight="1" outlineLevel="1">
      <c r="B380" s="656"/>
      <c r="C380" s="637"/>
      <c r="D380" s="121" t="s">
        <v>90</v>
      </c>
      <c r="E380" s="121">
        <v>503</v>
      </c>
      <c r="F380" s="121" t="s">
        <v>94</v>
      </c>
      <c r="G380" s="122">
        <f>G286*'Données Energie'!G$9</f>
        <v>20667</v>
      </c>
      <c r="H380" s="122">
        <f>H286*'Données Energie'!H$9</f>
        <v>36105</v>
      </c>
      <c r="I380" s="122">
        <f>I286*'Données Energie'!I$9</f>
        <v>24153</v>
      </c>
      <c r="J380" s="122">
        <f>J286*'Données Energie'!J$9</f>
        <v>32370</v>
      </c>
      <c r="K380" s="122">
        <f>K286*'Données Energie'!K$9</f>
        <v>31374</v>
      </c>
      <c r="L380" s="122">
        <f>L286*'Données Energie'!L$9</f>
        <v>18924</v>
      </c>
      <c r="M380" s="122">
        <f>M286*'Données Energie'!M$9</f>
        <v>22410</v>
      </c>
      <c r="N380" s="122">
        <f>N286*'Données Energie'!N$9</f>
        <v>13197</v>
      </c>
      <c r="O380" s="119">
        <f>O286*'Données Energie'!O$11</f>
        <v>4949.4039999999904</v>
      </c>
      <c r="P380" s="119">
        <f>P286*'Données Energie'!P$11</f>
        <v>4949</v>
      </c>
      <c r="Q380" s="119">
        <f>Q286*'Données Energie'!Q$11</f>
        <v>4949</v>
      </c>
      <c r="R380" s="119">
        <f>R286*'Données Energie'!R$11</f>
        <v>1313</v>
      </c>
    </row>
    <row r="381" spans="2:20" ht="14.4" collapsed="1">
      <c r="B381" s="656"/>
      <c r="C381" s="637"/>
      <c r="D381" s="138" t="s">
        <v>90</v>
      </c>
      <c r="E381" s="138"/>
      <c r="F381" s="138" t="s">
        <v>95</v>
      </c>
      <c r="G381" s="139">
        <f t="shared" ref="G381:Q381" si="79">SUM(G377:G380)</f>
        <v>260952</v>
      </c>
      <c r="H381" s="139">
        <f t="shared" si="79"/>
        <v>341379</v>
      </c>
      <c r="I381" s="139">
        <f t="shared" si="79"/>
        <v>232068</v>
      </c>
      <c r="J381" s="139">
        <f t="shared" si="79"/>
        <v>302286</v>
      </c>
      <c r="K381" s="139">
        <f t="shared" si="79"/>
        <v>311997</v>
      </c>
      <c r="L381" s="139">
        <f t="shared" si="79"/>
        <v>171561</v>
      </c>
      <c r="M381" s="139">
        <f t="shared" si="79"/>
        <v>168324</v>
      </c>
      <c r="N381" s="139">
        <f t="shared" si="79"/>
        <v>152021.97</v>
      </c>
      <c r="O381" s="144">
        <f t="shared" si="79"/>
        <v>56830.074000000015</v>
      </c>
      <c r="P381" s="144">
        <f t="shared" si="79"/>
        <v>32724</v>
      </c>
      <c r="Q381" s="144">
        <f t="shared" si="79"/>
        <v>22422</v>
      </c>
      <c r="R381" s="144">
        <f>SUM(R377:R380)</f>
        <v>18887</v>
      </c>
    </row>
    <row r="382" spans="2:20" ht="14.55" hidden="1" customHeight="1" outlineLevel="1">
      <c r="B382" s="656"/>
      <c r="C382" s="637"/>
      <c r="D382" s="140" t="s">
        <v>96</v>
      </c>
      <c r="E382" s="140" t="s">
        <v>143</v>
      </c>
      <c r="F382" s="140" t="s">
        <v>144</v>
      </c>
      <c r="G382" s="141">
        <f>G288*'Données Energie'!G$9</f>
        <v>512940</v>
      </c>
      <c r="H382" s="141">
        <f>H288*'Données Energie'!H$9</f>
        <v>557760</v>
      </c>
      <c r="I382" s="141">
        <f>I288*'Données Energie'!I$9</f>
        <v>428031</v>
      </c>
      <c r="J382" s="141">
        <f>J288*'Données Energie'!J$9</f>
        <v>395760.6</v>
      </c>
      <c r="K382" s="141">
        <f>K288*'Données Energie'!K$9</f>
        <v>473598</v>
      </c>
      <c r="L382" s="141">
        <f>L288*'Données Energie'!L$9</f>
        <v>297306</v>
      </c>
      <c r="M382" s="141">
        <f>M288*'Données Energie'!M$9</f>
        <v>301539</v>
      </c>
      <c r="N382" s="141">
        <f>N288*'Données Energie'!N$9</f>
        <v>343371</v>
      </c>
      <c r="O382" s="141">
        <f>O288*'Données Energie'!O$11</f>
        <v>112872.8934</v>
      </c>
      <c r="P382" s="141">
        <f>P288*'Données Energie'!P$11</f>
        <v>110918.20000000001</v>
      </c>
      <c r="Q382" s="141">
        <f>Q288*'Données Energie'!Q$11</f>
        <v>94940</v>
      </c>
      <c r="R382" s="141">
        <f>R288*'Données Energie'!R$11</f>
        <v>99404.200000000012</v>
      </c>
    </row>
    <row r="383" spans="2:20" ht="14.55" hidden="1" customHeight="1" outlineLevel="1">
      <c r="B383" s="656"/>
      <c r="C383" s="637"/>
      <c r="D383" s="140" t="s">
        <v>96</v>
      </c>
      <c r="E383" s="140">
        <v>307</v>
      </c>
      <c r="F383" s="140" t="s">
        <v>100</v>
      </c>
      <c r="G383" s="141">
        <f>G289*'Données Energie'!G$9</f>
        <v>99600</v>
      </c>
      <c r="H383" s="141">
        <f>H289*'Données Energie'!H$9</f>
        <v>96114</v>
      </c>
      <c r="I383" s="141">
        <f>I289*'Données Energie'!I$9</f>
        <v>81921</v>
      </c>
      <c r="J383" s="141">
        <f>J289*'Données Energie'!J$9</f>
        <v>96612</v>
      </c>
      <c r="K383" s="141">
        <f>K289*'Données Energie'!K$9</f>
        <v>94122</v>
      </c>
      <c r="L383" s="141">
        <f>L289*'Données Energie'!L$9</f>
        <v>78933</v>
      </c>
      <c r="M383" s="141">
        <f>M289*'Données Energie'!M$9</f>
        <v>90885</v>
      </c>
      <c r="N383" s="141">
        <f>N289*'Données Energie'!N$9</f>
        <v>79680</v>
      </c>
      <c r="O383" s="141">
        <f>O289*'Données Energie'!O$11</f>
        <v>26890.442000000021</v>
      </c>
      <c r="P383" s="141">
        <f>P289*'Données Energie'!P$11</f>
        <v>24745</v>
      </c>
      <c r="Q383" s="141">
        <f>Q289*'Données Energie'!Q$11</f>
        <v>23432</v>
      </c>
      <c r="R383" s="141">
        <f>R289*'Données Energie'!R$11</f>
        <v>22220</v>
      </c>
    </row>
    <row r="384" spans="2:20" ht="14.55" hidden="1" customHeight="1" outlineLevel="1">
      <c r="B384" s="656"/>
      <c r="C384" s="637"/>
      <c r="D384" s="140" t="s">
        <v>96</v>
      </c>
      <c r="E384" s="140">
        <v>304</v>
      </c>
      <c r="F384" s="140" t="s">
        <v>101</v>
      </c>
      <c r="G384" s="141">
        <f>G290*'Données Energie'!G$9</f>
        <v>98355</v>
      </c>
      <c r="H384" s="141">
        <f>H290*'Données Energie'!H$9</f>
        <v>117279</v>
      </c>
      <c r="I384" s="141">
        <f>I290*'Données Energie'!I$9</f>
        <v>87648</v>
      </c>
      <c r="J384" s="141">
        <f>J290*'Données Energie'!J$9</f>
        <v>106323</v>
      </c>
      <c r="K384" s="141">
        <f>K290*'Données Energie'!K$9</f>
        <v>102090</v>
      </c>
      <c r="L384" s="141">
        <f>L290*'Données Energie'!L$9</f>
        <v>78186</v>
      </c>
      <c r="M384" s="141">
        <f>M290*'Données Energie'!M$9</f>
        <v>93873</v>
      </c>
      <c r="N384" s="141">
        <f>N290*'Données Energie'!N$9</f>
        <v>99916.23</v>
      </c>
      <c r="O384" s="141">
        <f>O290*'Données Energie'!O$11</f>
        <v>36583.815999999999</v>
      </c>
      <c r="P384" s="141">
        <f>P290*'Données Energie'!P$11</f>
        <v>28078</v>
      </c>
      <c r="Q384" s="141">
        <f>Q290*'Données Energie'!Q$11</f>
        <v>23129</v>
      </c>
      <c r="R384" s="141">
        <f>R290*'Données Energie'!R$11</f>
        <v>18584</v>
      </c>
    </row>
    <row r="385" spans="2:18" ht="14.55" hidden="1" customHeight="1" outlineLevel="1">
      <c r="B385" s="656"/>
      <c r="C385" s="637"/>
      <c r="D385" s="140" t="s">
        <v>96</v>
      </c>
      <c r="E385" s="140">
        <v>306</v>
      </c>
      <c r="F385" s="140" t="s">
        <v>102</v>
      </c>
      <c r="G385" s="141">
        <f>G291*'Données Energie'!G$9</f>
        <v>89640</v>
      </c>
      <c r="H385" s="141">
        <f>H291*'Données Energie'!H$9</f>
        <v>116283</v>
      </c>
      <c r="I385" s="141">
        <f>I291*'Données Energie'!I$9</f>
        <v>99102</v>
      </c>
      <c r="J385" s="141">
        <f>J291*'Données Energie'!J$9</f>
        <v>153633</v>
      </c>
      <c r="K385" s="141">
        <f>K291*'Données Energie'!K$9</f>
        <v>152886</v>
      </c>
      <c r="L385" s="141">
        <f>L291*'Données Energie'!L$9</f>
        <v>117777</v>
      </c>
      <c r="M385" s="141">
        <f>M291*'Données Energie'!M$9</f>
        <v>125247</v>
      </c>
      <c r="N385" s="141">
        <f>N291*'Données Energie'!N$9</f>
        <v>99679.680000000008</v>
      </c>
      <c r="O385" s="141">
        <f>O291*'Données Energie'!O$11</f>
        <v>26257.071</v>
      </c>
      <c r="P385" s="141">
        <f>P291*'Données Energie'!P$11</f>
        <v>40097</v>
      </c>
      <c r="Q385" s="141">
        <f>Q291*'Données Energie'!Q$11</f>
        <v>47268</v>
      </c>
      <c r="R385" s="141">
        <f>R291*'Données Energie'!R$11</f>
        <v>39996</v>
      </c>
    </row>
    <row r="386" spans="2:18" ht="14.55" hidden="1" customHeight="1" outlineLevel="1">
      <c r="B386" s="656"/>
      <c r="C386" s="637"/>
      <c r="D386" s="140" t="s">
        <v>96</v>
      </c>
      <c r="E386" s="140">
        <v>303</v>
      </c>
      <c r="F386" s="140" t="s">
        <v>103</v>
      </c>
      <c r="G386" s="141">
        <f>G292*'Données Energie'!G$9</f>
        <v>32619</v>
      </c>
      <c r="H386" s="141">
        <f>H292*'Données Energie'!H$9</f>
        <v>40587</v>
      </c>
      <c r="I386" s="141">
        <f>I292*'Données Energie'!I$9</f>
        <v>34860</v>
      </c>
      <c r="J386" s="141">
        <f>J292*'Données Energie'!J$9</f>
        <v>44820</v>
      </c>
      <c r="K386" s="141">
        <f>K292*'Données Energie'!K$9</f>
        <v>49551</v>
      </c>
      <c r="L386" s="141">
        <f>L292*'Données Energie'!L$9</f>
        <v>37101</v>
      </c>
      <c r="M386" s="141">
        <f>M292*'Données Energie'!M$9</f>
        <v>60009</v>
      </c>
      <c r="N386" s="141">
        <f>N292*'Données Energie'!N$9</f>
        <v>84030.03</v>
      </c>
      <c r="O386" s="141">
        <f>O292*'Données Energie'!O$11</f>
        <v>25668.746000000003</v>
      </c>
      <c r="P386" s="141">
        <f>P292*'Données Energie'!P$11</f>
        <v>21109</v>
      </c>
      <c r="Q386" s="141">
        <f>Q292*'Données Energie'!Q$11</f>
        <v>20907</v>
      </c>
      <c r="R386" s="141">
        <f>R292*'Données Energie'!R$11</f>
        <v>18685</v>
      </c>
    </row>
    <row r="387" spans="2:18" ht="14.55" hidden="1" customHeight="1" outlineLevel="1">
      <c r="B387" s="656"/>
      <c r="C387" s="637"/>
      <c r="D387" s="140" t="s">
        <v>96</v>
      </c>
      <c r="E387" s="140">
        <v>302</v>
      </c>
      <c r="F387" s="140" t="s">
        <v>104</v>
      </c>
      <c r="G387" s="141">
        <f>G293*'Données Energie'!G$9</f>
        <v>361797</v>
      </c>
      <c r="H387" s="141">
        <f>H293*'Données Energie'!H$9</f>
        <v>454674</v>
      </c>
      <c r="I387" s="141">
        <f>I293*'Données Energie'!I$9</f>
        <v>319965</v>
      </c>
      <c r="J387" s="141">
        <f>J293*'Données Energie'!J$9</f>
        <v>393171</v>
      </c>
      <c r="K387" s="141">
        <f>K293*'Données Energie'!K$9</f>
        <v>396906</v>
      </c>
      <c r="L387" s="141">
        <f>L293*'Données Energie'!L$9</f>
        <v>282117</v>
      </c>
      <c r="M387" s="141">
        <f>M293*'Données Energie'!M$9</f>
        <v>305772</v>
      </c>
      <c r="N387" s="141">
        <f>N293*'Données Energie'!N$9</f>
        <v>238265.60999999996</v>
      </c>
      <c r="O387" s="141">
        <f>O293*'Données Energie'!O$11</f>
        <v>78060.435599999997</v>
      </c>
      <c r="P387" s="141">
        <f>P293*'Données Energie'!P$11</f>
        <v>78153.800000000017</v>
      </c>
      <c r="Q387" s="141">
        <f>Q293*'Données Energie'!Q$11</f>
        <v>93930</v>
      </c>
      <c r="R387" s="141">
        <f>R293*'Données Energie'!R$11</f>
        <v>79119.360000000015</v>
      </c>
    </row>
    <row r="388" spans="2:18" ht="14.55" hidden="1" customHeight="1" outlineLevel="1">
      <c r="B388" s="656"/>
      <c r="C388" s="637"/>
      <c r="D388" s="140" t="s">
        <v>96</v>
      </c>
      <c r="E388" s="140">
        <v>401</v>
      </c>
      <c r="F388" s="140" t="s">
        <v>105</v>
      </c>
      <c r="G388" s="141">
        <f>G295*'Données Energie'!G$9</f>
        <v>153384</v>
      </c>
      <c r="H388" s="141">
        <f>H295*'Données Energie'!H$9</f>
        <v>177039</v>
      </c>
      <c r="I388" s="141">
        <f>I295*'Données Energie'!I$9</f>
        <v>115038</v>
      </c>
      <c r="J388" s="141">
        <f>J295*'Données Energie'!J$9</f>
        <v>132468</v>
      </c>
      <c r="K388" s="141">
        <f>K295*'Données Energie'!K$9</f>
        <v>155376</v>
      </c>
      <c r="L388" s="141">
        <f>L295*'Données Energie'!L$9</f>
        <v>106821</v>
      </c>
      <c r="M388" s="141">
        <f>M295*'Données Energie'!M$9</f>
        <v>123006</v>
      </c>
      <c r="N388" s="141">
        <f>N295*'Données Energie'!N$9</f>
        <v>124268.42999999998</v>
      </c>
      <c r="O388" s="141">
        <f>O295*'Données Energie'!O$11</f>
        <v>54932.385000000002</v>
      </c>
      <c r="P388" s="141">
        <f>P295*'Données Energie'!P$11</f>
        <v>50904</v>
      </c>
      <c r="Q388" s="141">
        <f>Q295*'Données Energie'!Q$11</f>
        <v>51409</v>
      </c>
      <c r="R388" s="141">
        <f>R295*'Données Energie'!R$11</f>
        <v>29795.000000000004</v>
      </c>
    </row>
    <row r="389" spans="2:18" ht="14.55" hidden="1" customHeight="1" outlineLevel="1">
      <c r="B389" s="656"/>
      <c r="C389" s="637"/>
      <c r="D389" s="140" t="s">
        <v>96</v>
      </c>
      <c r="E389" s="140">
        <v>403</v>
      </c>
      <c r="F389" s="140" t="s">
        <v>106</v>
      </c>
      <c r="G389" s="141">
        <f>G296*'Données Energie'!G$9</f>
        <v>202188</v>
      </c>
      <c r="H389" s="141">
        <f>H296*'Données Energie'!H$9</f>
        <v>222108</v>
      </c>
      <c r="I389" s="141">
        <f>I296*'Données Energie'!I$9</f>
        <v>168573</v>
      </c>
      <c r="J389" s="141">
        <f>J296*'Données Energie'!J$9</f>
        <v>190734</v>
      </c>
      <c r="K389" s="141">
        <f>K296*'Données Energie'!K$9</f>
        <v>235305</v>
      </c>
      <c r="L389" s="141">
        <f>L296*'Données Energie'!L$9</f>
        <v>165585</v>
      </c>
      <c r="M389" s="141">
        <f>M296*'Données Energie'!M$9</f>
        <v>196959</v>
      </c>
      <c r="N389" s="141">
        <f>N296*'Données Energie'!N$9</f>
        <v>192352.5</v>
      </c>
      <c r="O389" s="141">
        <f>O296*'Données Energie'!O$11</f>
        <v>77085.826000000001</v>
      </c>
      <c r="P389" s="141">
        <f>P296*'Données Energie'!P$11</f>
        <v>55449</v>
      </c>
      <c r="Q389" s="141">
        <f>Q296*'Données Energie'!Q$11</f>
        <v>48682</v>
      </c>
      <c r="R389" s="141">
        <f>R296*'Données Energie'!R$11</f>
        <v>65145.000000000007</v>
      </c>
    </row>
    <row r="390" spans="2:18" ht="14.55" hidden="1" customHeight="1" outlineLevel="1">
      <c r="B390" s="656"/>
      <c r="C390" s="637"/>
      <c r="D390" s="140" t="s">
        <v>96</v>
      </c>
      <c r="E390" s="140">
        <v>404</v>
      </c>
      <c r="F390" s="140" t="s">
        <v>107</v>
      </c>
      <c r="G390" s="141">
        <f>G297*'Données Energie'!G$9</f>
        <v>151890</v>
      </c>
      <c r="H390" s="141">
        <f>H297*'Données Energie'!H$9</f>
        <v>169071</v>
      </c>
      <c r="I390" s="141">
        <f>I297*'Données Energie'!I$9</f>
        <v>125745</v>
      </c>
      <c r="J390" s="141">
        <f>J297*'Données Energie'!J$9</f>
        <v>139440</v>
      </c>
      <c r="K390" s="141">
        <f>K297*'Données Energie'!K$9</f>
        <v>137199</v>
      </c>
      <c r="L390" s="141">
        <f>L297*'Données Energie'!L$9</f>
        <v>97857</v>
      </c>
      <c r="M390" s="141">
        <f>M297*'Données Energie'!M$9</f>
        <v>123006</v>
      </c>
      <c r="N390" s="141">
        <f>N297*'Données Energie'!N$9</f>
        <v>131579.07000000004</v>
      </c>
      <c r="O390" s="141">
        <f>O297*'Données Energie'!O$11</f>
        <v>58157.517000000007</v>
      </c>
      <c r="P390" s="141">
        <f>P297*'Données Energie'!P$11</f>
        <v>45046</v>
      </c>
      <c r="Q390" s="141">
        <f>Q297*'Données Energie'!Q$11</f>
        <v>35249</v>
      </c>
      <c r="R390" s="141">
        <f>R297*'Données Energie'!R$11</f>
        <v>31613.000000000004</v>
      </c>
    </row>
    <row r="391" spans="2:18" ht="14.55" hidden="1" customHeight="1" outlineLevel="1">
      <c r="B391" s="656"/>
      <c r="C391" s="637"/>
      <c r="D391" s="140" t="s">
        <v>96</v>
      </c>
      <c r="E391" s="140">
        <v>601</v>
      </c>
      <c r="F391" s="140" t="s">
        <v>109</v>
      </c>
      <c r="G391" s="141">
        <f>G298*'Données Energie'!G$9</f>
        <v>133215</v>
      </c>
      <c r="H391" s="141">
        <f>H298*'Données Energie'!H$9</f>
        <v>144669</v>
      </c>
      <c r="I391" s="141">
        <f>I298*'Données Energie'!I$9</f>
        <v>108564</v>
      </c>
      <c r="J391" s="141">
        <f>J298*'Données Energie'!J$9</f>
        <v>111303</v>
      </c>
      <c r="K391" s="141">
        <f>K298*'Données Energie'!K$9</f>
        <v>112548</v>
      </c>
      <c r="L391" s="141">
        <f>L298*'Données Energie'!L$9</f>
        <v>89889</v>
      </c>
      <c r="M391" s="141">
        <f>M298*'Données Energie'!M$9</f>
        <v>106572</v>
      </c>
      <c r="N391" s="141">
        <f>N298*'Données Energie'!N$9</f>
        <v>118180.38</v>
      </c>
      <c r="O391" s="141">
        <f>O298*'Données Energie'!O$11</f>
        <v>46360.818000000007</v>
      </c>
      <c r="P391" s="141">
        <f>P298*'Données Energie'!P$11</f>
        <v>43834</v>
      </c>
      <c r="Q391" s="141">
        <f>Q298*'Données Energie'!Q$11</f>
        <v>41309</v>
      </c>
      <c r="R391" s="141">
        <f>R298*'Données Energie'!R$11</f>
        <v>35249</v>
      </c>
    </row>
    <row r="392" spans="2:18" ht="14.55" hidden="1" customHeight="1" outlineLevel="1">
      <c r="B392" s="656"/>
      <c r="C392" s="637"/>
      <c r="D392" s="140" t="s">
        <v>96</v>
      </c>
      <c r="E392" s="140">
        <v>405</v>
      </c>
      <c r="F392" s="140" t="s">
        <v>110</v>
      </c>
      <c r="G392" s="141">
        <f>G299*'Données Energie'!G$9</f>
        <v>115038</v>
      </c>
      <c r="H392" s="141">
        <f>H299*'Données Energie'!H$9</f>
        <v>120018</v>
      </c>
      <c r="I392" s="141">
        <f>I299*'Données Energie'!I$9</f>
        <v>85407</v>
      </c>
      <c r="J392" s="141">
        <f>J299*'Données Energie'!J$9</f>
        <v>94869</v>
      </c>
      <c r="K392" s="141">
        <f>K299*'Données Energie'!K$9</f>
        <v>113544</v>
      </c>
      <c r="L392" s="141">
        <f>L299*'Données Energie'!L$9</f>
        <v>75447</v>
      </c>
      <c r="M392" s="141">
        <f>M299*'Données Energie'!M$9</f>
        <v>91881</v>
      </c>
      <c r="N392" s="141">
        <f>N299*'Données Energie'!N$9</f>
        <v>76550.069999999992</v>
      </c>
      <c r="O392" s="141">
        <f>O299*'Données Energie'!O$11</f>
        <v>38658.255000000005</v>
      </c>
      <c r="P392" s="141">
        <f>P299*'Données Energie'!P$11</f>
        <v>28179</v>
      </c>
      <c r="Q392" s="141">
        <f>Q299*'Données Energie'!Q$11</f>
        <v>32421.000000000004</v>
      </c>
      <c r="R392" s="141">
        <f>R299*'Données Energie'!R$11</f>
        <v>27270</v>
      </c>
    </row>
    <row r="393" spans="2:18" ht="14.55" hidden="1" customHeight="1" outlineLevel="1">
      <c r="B393" s="656"/>
      <c r="C393" s="637"/>
      <c r="D393" s="140" t="s">
        <v>96</v>
      </c>
      <c r="E393" s="140">
        <v>501</v>
      </c>
      <c r="F393" s="140" t="s">
        <v>111</v>
      </c>
      <c r="G393" s="141">
        <f>G300*'Données Energie'!G$9</f>
        <v>182517</v>
      </c>
      <c r="H393" s="141">
        <f>H300*'Données Energie'!H$9</f>
        <v>212895</v>
      </c>
      <c r="I393" s="141">
        <f>I300*'Données Energie'!I$9</f>
        <v>136950</v>
      </c>
      <c r="J393" s="141">
        <f>J300*'Données Energie'!J$9</f>
        <v>157866</v>
      </c>
      <c r="K393" s="141">
        <f>K300*'Données Energie'!K$9</f>
        <v>164340</v>
      </c>
      <c r="L393" s="141">
        <f>L300*'Données Energie'!L$9</f>
        <v>117030</v>
      </c>
      <c r="M393" s="141">
        <f>M300*'Données Energie'!M$9</f>
        <v>133713</v>
      </c>
      <c r="N393" s="141">
        <f>N300*'Données Energie'!N$9</f>
        <v>148633.08000000002</v>
      </c>
      <c r="O393" s="141">
        <f>O300*'Données Energie'!O$11</f>
        <v>61294.375000000007</v>
      </c>
      <c r="P393" s="141">
        <f>P300*'Données Energie'!P$11</f>
        <v>56964</v>
      </c>
      <c r="Q393" s="141">
        <f>Q300*'Données Energie'!Q$11</f>
        <v>56156</v>
      </c>
      <c r="R393" s="141">
        <f>R300*'Données Energie'!R$11</f>
        <v>41410</v>
      </c>
    </row>
    <row r="394" spans="2:18" ht="14.55" hidden="1" customHeight="1" outlineLevel="1">
      <c r="B394" s="656"/>
      <c r="C394" s="637"/>
      <c r="D394" s="140" t="s">
        <v>96</v>
      </c>
      <c r="E394" s="140">
        <v>502</v>
      </c>
      <c r="F394" s="140" t="s">
        <v>112</v>
      </c>
      <c r="G394" s="141">
        <f>G301*'Données Energie'!G$9</f>
        <v>205674</v>
      </c>
      <c r="H394" s="141">
        <f>H301*'Données Energie'!H$9</f>
        <v>160356</v>
      </c>
      <c r="I394" s="141">
        <f>I301*'Données Energie'!I$9</f>
        <v>104331</v>
      </c>
      <c r="J394" s="141">
        <f>J301*'Données Energie'!J$9</f>
        <v>76941</v>
      </c>
      <c r="K394" s="141">
        <f>K301*'Données Energie'!K$9</f>
        <v>161601</v>
      </c>
      <c r="L394" s="141">
        <f>L301*'Données Energie'!L$9</f>
        <v>124749</v>
      </c>
      <c r="M394" s="141">
        <f>M301*'Données Energie'!M$9</f>
        <v>120018</v>
      </c>
      <c r="N394" s="141">
        <f>N301*'Données Energie'!N$9</f>
        <v>111552</v>
      </c>
      <c r="O394" s="141">
        <f>O301*'Données Energie'!O$11</f>
        <v>32527.555</v>
      </c>
      <c r="P394" s="141">
        <f>P301*'Données Energie'!P$11</f>
        <v>35350</v>
      </c>
      <c r="Q394" s="141">
        <f>Q301*'Données Energie'!Q$11</f>
        <v>57469.000000000007</v>
      </c>
      <c r="R394" s="141">
        <f>R301*'Données Energie'!R$11</f>
        <v>64943.000000000007</v>
      </c>
    </row>
    <row r="395" spans="2:18" ht="14.55" hidden="1" customHeight="1" outlineLevel="1">
      <c r="B395" s="656"/>
      <c r="C395" s="637"/>
      <c r="D395" s="140" t="s">
        <v>96</v>
      </c>
      <c r="E395" s="140">
        <v>504</v>
      </c>
      <c r="F395" s="140" t="s">
        <v>113</v>
      </c>
      <c r="G395" s="141">
        <f>G302*'Données Energie'!G$9</f>
        <v>128982</v>
      </c>
      <c r="H395" s="141">
        <f>H302*'Données Energie'!H$9</f>
        <v>138693</v>
      </c>
      <c r="I395" s="141">
        <f>I302*'Données Energie'!I$9</f>
        <v>102588</v>
      </c>
      <c r="J395" s="141">
        <f>J302*'Données Energie'!J$9</f>
        <v>125247</v>
      </c>
      <c r="K395" s="141">
        <f>K302*'Données Energie'!K$9</f>
        <v>152637</v>
      </c>
      <c r="L395" s="141">
        <f>L302*'Données Energie'!L$9</f>
        <v>74700</v>
      </c>
      <c r="M395" s="141">
        <f>M302*'Données Energie'!M$9</f>
        <v>88893</v>
      </c>
      <c r="N395" s="141">
        <f>N302*'Données Energie'!N$9</f>
        <v>96968.069999999978</v>
      </c>
      <c r="O395" s="141">
        <f>O302*'Données Energie'!O$11</f>
        <v>38865.40600000001</v>
      </c>
      <c r="P395" s="141">
        <f>P302*'Données Energie'!P$11</f>
        <v>27371</v>
      </c>
      <c r="Q395" s="141">
        <f>Q302*'Données Energie'!Q$11</f>
        <v>26361</v>
      </c>
      <c r="R395" s="141">
        <f>R302*'Données Energie'!R$11</f>
        <v>19190</v>
      </c>
    </row>
    <row r="396" spans="2:18" ht="14.55" hidden="1" customHeight="1" outlineLevel="1">
      <c r="B396" s="656"/>
      <c r="C396" s="637"/>
      <c r="D396" s="140" t="s">
        <v>96</v>
      </c>
      <c r="E396" s="140">
        <v>406</v>
      </c>
      <c r="F396" s="140" t="s">
        <v>114</v>
      </c>
      <c r="G396" s="141">
        <f>G303*'Données Energie'!G$9</f>
        <v>278133</v>
      </c>
      <c r="H396" s="141">
        <f>H303*'Données Energie'!H$9</f>
        <v>270165</v>
      </c>
      <c r="I396" s="141">
        <f>I303*'Données Energie'!I$9</f>
        <v>188991</v>
      </c>
      <c r="J396" s="141">
        <f>J303*'Données Energie'!J$9</f>
        <v>245265</v>
      </c>
      <c r="K396" s="141">
        <f>K303*'Données Energie'!K$9</f>
        <v>232566</v>
      </c>
      <c r="L396" s="141">
        <f>L303*'Données Energie'!L$9</f>
        <v>169071</v>
      </c>
      <c r="M396" s="141">
        <f>M303*'Données Energie'!M$9</f>
        <v>245763</v>
      </c>
      <c r="N396" s="141">
        <f>N303*'Données Energie'!N$9</f>
        <v>244767</v>
      </c>
      <c r="O396" s="141">
        <f>O303*'Données Energie'!O$11</f>
        <v>90213.907000000021</v>
      </c>
      <c r="P396" s="141">
        <f>P303*'Données Energie'!P$11</f>
        <v>84032</v>
      </c>
      <c r="Q396" s="141">
        <f>Q303*'Données Energie'!Q$11</f>
        <v>96556</v>
      </c>
      <c r="R396" s="141">
        <f>R303*'Données Energie'!R$11</f>
        <v>64539.000000000007</v>
      </c>
    </row>
    <row r="397" spans="2:18" ht="14.55" hidden="1" customHeight="1" outlineLevel="1">
      <c r="B397" s="656"/>
      <c r="C397" s="637"/>
      <c r="D397" s="140" t="s">
        <v>96</v>
      </c>
      <c r="E397" s="140">
        <v>705</v>
      </c>
      <c r="F397" s="140" t="s">
        <v>116</v>
      </c>
      <c r="G397" s="141">
        <f>G304*'Données Energie'!G$9</f>
        <v>53037</v>
      </c>
      <c r="H397" s="141">
        <f>H304*'Données Energie'!H$9</f>
        <v>63744</v>
      </c>
      <c r="I397" s="141">
        <f>I304*'Données Energie'!I$9</f>
        <v>45318</v>
      </c>
      <c r="J397" s="141">
        <f>J304*'Données Energie'!J$9</f>
        <v>35607</v>
      </c>
      <c r="K397" s="141">
        <f>K304*'Données Energie'!K$9</f>
        <v>49800</v>
      </c>
      <c r="L397" s="141">
        <f>L304*'Données Energie'!L$9</f>
        <v>22908</v>
      </c>
      <c r="M397" s="141">
        <f>M304*'Données Energie'!M$9</f>
        <v>30378</v>
      </c>
      <c r="N397" s="141">
        <f>N304*'Données Energie'!N$9</f>
        <v>32619</v>
      </c>
      <c r="O397" s="141">
        <f>O304*'Données Energie'!O$11</f>
        <v>9432.5919999999824</v>
      </c>
      <c r="P397" s="141">
        <f>P304*'Données Energie'!P$11</f>
        <v>10100</v>
      </c>
      <c r="Q397" s="141">
        <f>Q304*'Données Energie'!Q$11</f>
        <v>18483</v>
      </c>
      <c r="R397" s="141">
        <f>R304*'Données Energie'!R$11</f>
        <v>13938</v>
      </c>
    </row>
    <row r="398" spans="2:18" ht="14.55" hidden="1" customHeight="1" outlineLevel="1">
      <c r="B398" s="656"/>
      <c r="C398" s="637"/>
      <c r="D398" s="140" t="s">
        <v>96</v>
      </c>
      <c r="E398" s="140"/>
      <c r="F398" s="140" t="s">
        <v>136</v>
      </c>
      <c r="G398" s="141">
        <f>G305*'Données Energie'!G$9</f>
        <v>0</v>
      </c>
      <c r="H398" s="141">
        <f>H305*'Données Energie'!H$9</f>
        <v>49302</v>
      </c>
      <c r="I398" s="141">
        <f>I305*'Données Energie'!I$9</f>
        <v>40338</v>
      </c>
      <c r="J398" s="141">
        <f>J305*'Données Energie'!J$9</f>
        <v>47559</v>
      </c>
      <c r="K398" s="141">
        <f>K305*'Données Energie'!K$9</f>
        <v>39591</v>
      </c>
      <c r="L398" s="141">
        <f>L305*'Données Energie'!L$9</f>
        <v>27141</v>
      </c>
      <c r="M398" s="141">
        <f>M305*'Données Energie'!M$9</f>
        <v>43824</v>
      </c>
      <c r="N398" s="141">
        <f>N305*'Données Energie'!N$9</f>
        <v>30129</v>
      </c>
      <c r="O398" s="141">
        <f>O305*'Données Energie'!O$11</f>
        <v>0</v>
      </c>
      <c r="P398" s="141">
        <f>P305*'Données Energie'!P$11</f>
        <v>0</v>
      </c>
      <c r="Q398" s="141">
        <f>Q305*'Données Energie'!Q$11</f>
        <v>12120</v>
      </c>
      <c r="R398" s="141">
        <f>R305*'Données Energie'!R$11</f>
        <v>0</v>
      </c>
    </row>
    <row r="399" spans="2:18" ht="14.55" customHeight="1" collapsed="1">
      <c r="B399" s="656"/>
      <c r="C399" s="637"/>
      <c r="D399" s="140" t="s">
        <v>96</v>
      </c>
      <c r="E399" s="140"/>
      <c r="F399" s="140" t="s">
        <v>95</v>
      </c>
      <c r="G399" s="141">
        <f t="shared" ref="G399:Q399" si="80">SUM(G382:G398)</f>
        <v>2799009</v>
      </c>
      <c r="H399" s="141">
        <f t="shared" si="80"/>
        <v>3110757</v>
      </c>
      <c r="I399" s="141">
        <f t="shared" si="80"/>
        <v>2273370</v>
      </c>
      <c r="J399" s="141">
        <f t="shared" si="80"/>
        <v>2547618.6</v>
      </c>
      <c r="K399" s="141">
        <f t="shared" si="80"/>
        <v>2823660</v>
      </c>
      <c r="L399" s="141">
        <f t="shared" si="80"/>
        <v>1962618</v>
      </c>
      <c r="M399" s="141">
        <f t="shared" si="80"/>
        <v>2281338</v>
      </c>
      <c r="N399" s="141">
        <f t="shared" si="80"/>
        <v>2252541.1500000004</v>
      </c>
      <c r="O399" s="141">
        <f>SUM(O382:O398)</f>
        <v>813862.03999999992</v>
      </c>
      <c r="P399" s="141">
        <f t="shared" si="80"/>
        <v>740330</v>
      </c>
      <c r="Q399" s="141">
        <f t="shared" si="80"/>
        <v>779821</v>
      </c>
      <c r="R399" s="141">
        <f>SUM(R382:R398)</f>
        <v>671100.56</v>
      </c>
    </row>
    <row r="400" spans="2:18" ht="14.55" hidden="1" customHeight="1" outlineLevel="1">
      <c r="B400" s="656"/>
      <c r="C400" s="637"/>
      <c r="D400" s="143" t="s">
        <v>117</v>
      </c>
      <c r="E400" s="143">
        <v>300</v>
      </c>
      <c r="F400" s="143" t="s">
        <v>118</v>
      </c>
      <c r="G400" s="144">
        <f>G308*'Données Energie'!G$9</f>
        <v>22410</v>
      </c>
      <c r="H400" s="144">
        <f>H308*'Données Energie'!H$9</f>
        <v>67230</v>
      </c>
      <c r="I400" s="144">
        <f>I308*'Données Energie'!I$9</f>
        <v>75198</v>
      </c>
      <c r="J400" s="144">
        <f>J308*'Données Energie'!J$9</f>
        <v>58266</v>
      </c>
      <c r="K400" s="144">
        <f>K308*'Données Energie'!K$9</f>
        <v>69222</v>
      </c>
      <c r="L400" s="144">
        <f>L308*'Données Energie'!L$9</f>
        <v>70716</v>
      </c>
      <c r="M400" s="144">
        <f>M308*'Données Energie'!M$9</f>
        <v>63993</v>
      </c>
      <c r="N400" s="144">
        <f>N308*'Données Energie'!N$9</f>
        <v>80427</v>
      </c>
      <c r="O400" s="144">
        <f>O308*'Données Energie'!O$11</f>
        <v>33096.285999999993</v>
      </c>
      <c r="P400" s="144">
        <f>P308*'Données Energie'!P$11</f>
        <v>31209.000000000004</v>
      </c>
      <c r="Q400" s="144">
        <f>Q308*'Données Energie'!Q$11</f>
        <v>22321</v>
      </c>
      <c r="R400" s="144">
        <f>R308*'Données Energie'!R$11</f>
        <v>25654</v>
      </c>
    </row>
    <row r="401" spans="2:18" ht="14.55" hidden="1" customHeight="1" outlineLevel="1">
      <c r="B401" s="656"/>
      <c r="C401" s="637"/>
      <c r="D401" s="143" t="s">
        <v>117</v>
      </c>
      <c r="E401" s="143">
        <v>209</v>
      </c>
      <c r="F401" s="143" t="s">
        <v>119</v>
      </c>
      <c r="G401" s="144">
        <f>G309*'Données Energie'!G$9</f>
        <v>100845</v>
      </c>
      <c r="H401" s="144">
        <f>H309*'Données Energie'!H$9</f>
        <v>116283</v>
      </c>
      <c r="I401" s="144">
        <f>I309*'Données Energie'!I$9</f>
        <v>78933</v>
      </c>
      <c r="J401" s="144">
        <f>J309*'Données Energie'!J$9</f>
        <v>104580</v>
      </c>
      <c r="K401" s="144">
        <f>K309*'Données Energie'!K$9</f>
        <v>121014</v>
      </c>
      <c r="L401" s="144">
        <f>L309*'Données Energie'!L$9</f>
        <v>73455</v>
      </c>
      <c r="M401" s="144">
        <f>M309*'Données Energie'!M$9</f>
        <v>65736</v>
      </c>
      <c r="N401" s="144">
        <f>N309*'Données Energie'!N$9</f>
        <v>88292.910000000018</v>
      </c>
      <c r="O401" s="144">
        <f>O309*'Données Energie'!O$11</f>
        <v>39106.392</v>
      </c>
      <c r="P401" s="144">
        <f>P309*'Données Energie'!P$11</f>
        <v>34239</v>
      </c>
      <c r="Q401" s="144">
        <f>Q309*'Données Energie'!Q$11</f>
        <v>37673</v>
      </c>
      <c r="R401" s="144">
        <f>R309*'Données Energie'!R$11</f>
        <v>32825</v>
      </c>
    </row>
    <row r="402" spans="2:18" ht="14.55" hidden="1" customHeight="1" outlineLevel="1">
      <c r="B402" s="656"/>
      <c r="C402" s="637"/>
      <c r="D402" s="143" t="s">
        <v>117</v>
      </c>
      <c r="E402" s="143">
        <v>201</v>
      </c>
      <c r="F402" s="143" t="s">
        <v>121</v>
      </c>
      <c r="G402" s="144">
        <f>G310*'Données Energie'!G$9</f>
        <v>65238</v>
      </c>
      <c r="H402" s="144">
        <f>H310*'Données Energie'!H$9</f>
        <v>70965</v>
      </c>
      <c r="I402" s="144">
        <f>I310*'Données Energie'!I$9</f>
        <v>47808</v>
      </c>
      <c r="J402" s="144">
        <f>J310*'Données Energie'!J$9</f>
        <v>55278</v>
      </c>
      <c r="K402" s="144">
        <f>K310*'Données Energie'!K$9</f>
        <v>58764</v>
      </c>
      <c r="L402" s="144">
        <f>L310*'Données Energie'!L$9</f>
        <v>31374</v>
      </c>
      <c r="M402" s="144">
        <f>M310*'Données Energie'!M$9</f>
        <v>34611</v>
      </c>
      <c r="N402" s="144">
        <f>N310*'Données Energie'!N$9</f>
        <v>38400.78</v>
      </c>
      <c r="O402" s="144">
        <f>O310*'Données Energie'!O$11</f>
        <v>17531.681000000004</v>
      </c>
      <c r="P402" s="144">
        <f>P310*'Données Energie'!P$11</f>
        <v>19392</v>
      </c>
      <c r="Q402" s="144">
        <f>Q310*'Données Energie'!Q$11</f>
        <v>17372</v>
      </c>
      <c r="R402" s="144">
        <f>R310*'Données Energie'!R$11</f>
        <v>14039</v>
      </c>
    </row>
    <row r="403" spans="2:18" ht="14.55" hidden="1" customHeight="1" outlineLevel="1">
      <c r="B403" s="656"/>
      <c r="C403" s="637"/>
      <c r="D403" s="143" t="s">
        <v>117</v>
      </c>
      <c r="E403" s="143">
        <v>206</v>
      </c>
      <c r="F403" s="143" t="s">
        <v>122</v>
      </c>
      <c r="G403" s="144">
        <f>G311*'Données Energie'!G$9</f>
        <v>30129</v>
      </c>
      <c r="H403" s="144">
        <f>H311*'Données Energie'!H$9</f>
        <v>31125</v>
      </c>
      <c r="I403" s="144">
        <f>I311*'Données Energie'!I$9</f>
        <v>23157</v>
      </c>
      <c r="J403" s="144">
        <f>J311*'Données Energie'!J$9</f>
        <v>27639</v>
      </c>
      <c r="K403" s="144">
        <f>K311*'Données Energie'!K$9</f>
        <v>36354</v>
      </c>
      <c r="L403" s="144">
        <f>L311*'Données Energie'!L$9</f>
        <v>19173</v>
      </c>
      <c r="M403" s="144">
        <f>M311*'Données Energie'!M$9</f>
        <v>23157</v>
      </c>
      <c r="N403" s="144">
        <f>N311*'Données Energie'!N$9</f>
        <v>21045.480000000003</v>
      </c>
      <c r="O403" s="144">
        <f>O311*'Données Energie'!O$11</f>
        <v>11186.053</v>
      </c>
      <c r="P403" s="144">
        <f>P311*'Données Energie'!P$11</f>
        <v>9797</v>
      </c>
      <c r="Q403" s="144">
        <f>Q311*'Données Energie'!Q$11</f>
        <v>9494</v>
      </c>
      <c r="R403" s="144">
        <f>R311*'Données Energie'!R$11</f>
        <v>7878.0000000000009</v>
      </c>
    </row>
    <row r="404" spans="2:18" ht="14.55" hidden="1" customHeight="1" outlineLevel="1">
      <c r="B404" s="656"/>
      <c r="C404" s="637"/>
      <c r="D404" s="140" t="s">
        <v>117</v>
      </c>
      <c r="E404" s="140">
        <v>602</v>
      </c>
      <c r="F404" s="140" t="s">
        <v>126</v>
      </c>
      <c r="G404" s="144">
        <f>G312*'Données Energie'!G$9</f>
        <v>49551</v>
      </c>
      <c r="H404" s="144">
        <f>H312*'Données Energie'!H$9</f>
        <v>54531</v>
      </c>
      <c r="I404" s="144">
        <f>I312*'Données Energie'!I$9</f>
        <v>46563</v>
      </c>
      <c r="J404" s="144">
        <f>J312*'Données Energie'!J$9</f>
        <v>68724</v>
      </c>
      <c r="K404" s="144">
        <f>K312*'Données Energie'!K$9</f>
        <v>87399</v>
      </c>
      <c r="L404" s="144">
        <f>L312*'Données Energie'!L$9</f>
        <v>57519</v>
      </c>
      <c r="M404" s="144">
        <f>M312*'Données Energie'!M$9</f>
        <v>53784</v>
      </c>
      <c r="N404" s="144">
        <f>N312*'Données Energie'!N$9</f>
        <v>51045</v>
      </c>
      <c r="O404" s="144">
        <f>O312*'Données Energie'!O$11</f>
        <v>20527.139000000003</v>
      </c>
      <c r="P404" s="144">
        <f>P312*'Données Energie'!P$11</f>
        <v>21412</v>
      </c>
      <c r="Q404" s="144">
        <f>Q312*'Données Energie'!Q$11</f>
        <v>21008</v>
      </c>
      <c r="R404" s="144">
        <f>R312*'Données Energie'!R$11</f>
        <v>19089</v>
      </c>
    </row>
    <row r="405" spans="2:18" ht="14.55" hidden="1" customHeight="1" outlineLevel="1">
      <c r="B405" s="656"/>
      <c r="C405" s="637"/>
      <c r="D405" s="140" t="s">
        <v>117</v>
      </c>
      <c r="E405" s="140">
        <v>220</v>
      </c>
      <c r="F405" s="140" t="s">
        <v>145</v>
      </c>
      <c r="G405" s="144">
        <f>G313*'Données Energie'!G$9</f>
        <v>68973</v>
      </c>
      <c r="H405" s="144">
        <f>H313*'Données Energie'!H$9</f>
        <v>57519</v>
      </c>
      <c r="I405" s="144">
        <f>I313*'Données Energie'!I$9</f>
        <v>40587</v>
      </c>
      <c r="J405" s="144">
        <f>J313*'Données Energie'!J$9</f>
        <v>32370</v>
      </c>
      <c r="K405" s="144">
        <f>K313*'Données Energie'!K$9</f>
        <v>39591</v>
      </c>
      <c r="L405" s="144">
        <f>L313*'Données Energie'!L$9</f>
        <v>26643</v>
      </c>
      <c r="M405" s="144">
        <f>M313*'Données Energie'!M$9</f>
        <v>39342</v>
      </c>
      <c r="N405" s="144">
        <f>N313*'Données Energie'!N$9</f>
        <v>32370</v>
      </c>
      <c r="O405" s="144">
        <f>O313*'Données Energie'!O$11</f>
        <v>15060.211000000001</v>
      </c>
      <c r="P405" s="144">
        <f>P313*'Données Energie'!P$11</f>
        <v>17069</v>
      </c>
      <c r="Q405" s="144">
        <f>Q313*'Données Energie'!Q$11</f>
        <v>14443.000000000002</v>
      </c>
      <c r="R405" s="144">
        <f>R313*'Données Energie'!R$11</f>
        <v>14746.000000000002</v>
      </c>
    </row>
    <row r="406" spans="2:18" ht="14.55" customHeight="1" collapsed="1">
      <c r="B406" s="656"/>
      <c r="C406" s="637"/>
      <c r="D406" s="140" t="s">
        <v>117</v>
      </c>
      <c r="E406" s="140"/>
      <c r="F406" s="140" t="s">
        <v>95</v>
      </c>
      <c r="G406" s="141">
        <f t="shared" ref="G406:N406" si="81">SUM(G400:G405)</f>
        <v>337146</v>
      </c>
      <c r="H406" s="141">
        <f t="shared" si="81"/>
        <v>397653</v>
      </c>
      <c r="I406" s="141">
        <f t="shared" si="81"/>
        <v>312246</v>
      </c>
      <c r="J406" s="141">
        <f t="shared" si="81"/>
        <v>346857</v>
      </c>
      <c r="K406" s="141">
        <f t="shared" si="81"/>
        <v>412344</v>
      </c>
      <c r="L406" s="141">
        <f t="shared" si="81"/>
        <v>278880</v>
      </c>
      <c r="M406" s="141">
        <f t="shared" si="81"/>
        <v>280623</v>
      </c>
      <c r="N406" s="141">
        <f t="shared" si="81"/>
        <v>311581.17000000004</v>
      </c>
      <c r="O406" s="144">
        <f>O314*'Données Energie'!O$11</f>
        <v>136507.76200000002</v>
      </c>
      <c r="P406" s="144">
        <f>P314*'Données Energie'!P$11</f>
        <v>133118</v>
      </c>
      <c r="Q406" s="144">
        <f>Q314*'Données Energie'!Q$11</f>
        <v>122311.00000000001</v>
      </c>
      <c r="R406" s="144">
        <f>R314*'Données Energie'!R$11</f>
        <v>114231.00000000001</v>
      </c>
    </row>
    <row r="407" spans="2:18" ht="14.55" customHeight="1">
      <c r="B407" s="656"/>
      <c r="C407" s="637"/>
      <c r="D407" s="134" t="s">
        <v>128</v>
      </c>
      <c r="E407" s="134"/>
      <c r="F407" s="134" t="s">
        <v>36</v>
      </c>
      <c r="G407" s="135">
        <f t="shared" ref="G407:Q407" si="82">G381+G399+G406</f>
        <v>3397107</v>
      </c>
      <c r="H407" s="135">
        <f t="shared" si="82"/>
        <v>3849789</v>
      </c>
      <c r="I407" s="135">
        <f t="shared" si="82"/>
        <v>2817684</v>
      </c>
      <c r="J407" s="135">
        <f t="shared" si="82"/>
        <v>3196761.6</v>
      </c>
      <c r="K407" s="135">
        <f t="shared" si="82"/>
        <v>3548001</v>
      </c>
      <c r="L407" s="135">
        <f t="shared" si="82"/>
        <v>2413059</v>
      </c>
      <c r="M407" s="135">
        <f t="shared" si="82"/>
        <v>2730285</v>
      </c>
      <c r="N407" s="135">
        <f t="shared" si="82"/>
        <v>2716144.2900000005</v>
      </c>
      <c r="O407" s="135">
        <f t="shared" si="82"/>
        <v>1007199.8759999999</v>
      </c>
      <c r="P407" s="135">
        <f t="shared" si="82"/>
        <v>906172</v>
      </c>
      <c r="Q407" s="135">
        <f t="shared" si="82"/>
        <v>924554</v>
      </c>
      <c r="R407" s="135">
        <f>R381+R399+R406</f>
        <v>804218.56</v>
      </c>
    </row>
    <row r="408" spans="2:18" ht="14.4" customHeight="1">
      <c r="B408" s="656"/>
      <c r="C408" s="637"/>
      <c r="D408" s="130" t="s">
        <v>132</v>
      </c>
      <c r="E408" s="130"/>
      <c r="F408" s="130" t="s">
        <v>36</v>
      </c>
      <c r="G408" s="131">
        <f t="shared" ref="G408:Q408" si="83">G373+G376+G407</f>
        <v>4368456</v>
      </c>
      <c r="H408" s="131">
        <f t="shared" si="83"/>
        <v>5000916</v>
      </c>
      <c r="I408" s="131">
        <f t="shared" si="83"/>
        <v>3778824</v>
      </c>
      <c r="J408" s="131">
        <f t="shared" si="83"/>
        <v>4255410</v>
      </c>
      <c r="K408" s="131">
        <f t="shared" si="83"/>
        <v>4822383</v>
      </c>
      <c r="L408" s="131">
        <f t="shared" si="83"/>
        <v>3377311.5</v>
      </c>
      <c r="M408" s="131">
        <f t="shared" si="83"/>
        <v>3781438.5</v>
      </c>
      <c r="N408" s="131">
        <f t="shared" si="83"/>
        <v>3904638.7200000007</v>
      </c>
      <c r="O408" s="131">
        <f t="shared" si="83"/>
        <v>1460502.0766</v>
      </c>
      <c r="P408" s="131">
        <f t="shared" si="83"/>
        <v>1330654.8</v>
      </c>
      <c r="Q408" s="131">
        <f t="shared" si="83"/>
        <v>1363096</v>
      </c>
      <c r="R408" s="131">
        <f>R373+R376+R407</f>
        <v>1287281.3600000001</v>
      </c>
    </row>
    <row r="409" spans="2:18" ht="37.200000000000003" customHeight="1" thickBot="1">
      <c r="B409" s="657"/>
      <c r="C409" s="424" t="s">
        <v>959</v>
      </c>
      <c r="D409" s="412" t="s">
        <v>132</v>
      </c>
      <c r="E409" s="412"/>
      <c r="F409" s="412" t="s">
        <v>36</v>
      </c>
      <c r="G409" s="413">
        <f t="shared" ref="G409:N409" si="84">G408*G10/1000</f>
        <v>1310.5368000000001</v>
      </c>
      <c r="H409" s="413">
        <f t="shared" si="84"/>
        <v>1500.2748000000001</v>
      </c>
      <c r="I409" s="413">
        <f t="shared" si="84"/>
        <v>1133.6471999999999</v>
      </c>
      <c r="J409" s="413">
        <f t="shared" si="84"/>
        <v>1276.623</v>
      </c>
      <c r="K409" s="413">
        <f t="shared" si="84"/>
        <v>1446.7148999999999</v>
      </c>
      <c r="L409" s="413">
        <f t="shared" si="84"/>
        <v>1013.19345</v>
      </c>
      <c r="M409" s="413">
        <f t="shared" si="84"/>
        <v>1134.43155</v>
      </c>
      <c r="N409" s="413">
        <f t="shared" si="84"/>
        <v>1171.3916160000001</v>
      </c>
      <c r="O409" s="413">
        <f>O408*O12/1000</f>
        <v>438.15062297999998</v>
      </c>
      <c r="P409" s="413">
        <f>P408*P12/1000</f>
        <v>399.19644</v>
      </c>
      <c r="Q409" s="413">
        <f>Q408*Q12/1000</f>
        <v>408.92879999999997</v>
      </c>
      <c r="R409" s="413">
        <f>R408*R12/1000</f>
        <v>386.18440800000002</v>
      </c>
    </row>
    <row r="410" spans="2:18" ht="16.05" customHeight="1">
      <c r="B410" s="649" t="s">
        <v>1027</v>
      </c>
      <c r="C410" s="648" t="s">
        <v>1028</v>
      </c>
      <c r="D410" s="134" t="s">
        <v>1029</v>
      </c>
      <c r="E410" s="134"/>
      <c r="F410" s="134"/>
      <c r="G410" s="135"/>
      <c r="H410" s="135"/>
      <c r="I410" s="135"/>
      <c r="J410" s="135"/>
      <c r="K410" s="135"/>
      <c r="L410" s="135"/>
      <c r="M410" s="135">
        <v>4415</v>
      </c>
      <c r="N410" s="135">
        <v>3188</v>
      </c>
      <c r="O410" s="135">
        <v>3548</v>
      </c>
      <c r="P410" s="135">
        <v>2770</v>
      </c>
      <c r="Q410" s="135">
        <v>3735.7199999999993</v>
      </c>
      <c r="R410" s="135">
        <v>2433</v>
      </c>
    </row>
    <row r="411" spans="2:18" ht="16.05" customHeight="1">
      <c r="B411" s="650"/>
      <c r="C411" s="648"/>
      <c r="D411" s="134" t="s">
        <v>1033</v>
      </c>
      <c r="E411" s="134"/>
      <c r="F411" s="134"/>
      <c r="G411" s="135"/>
      <c r="H411" s="135"/>
      <c r="I411" s="135"/>
      <c r="J411" s="135"/>
      <c r="K411" s="135"/>
      <c r="L411" s="135"/>
      <c r="M411" s="135">
        <v>1045</v>
      </c>
      <c r="N411" s="135">
        <v>2079</v>
      </c>
      <c r="O411" s="135">
        <v>2372</v>
      </c>
      <c r="P411" s="135">
        <v>2615</v>
      </c>
      <c r="Q411" s="135">
        <v>2549.8599999999997</v>
      </c>
      <c r="R411" s="135">
        <v>2124</v>
      </c>
    </row>
    <row r="412" spans="2:18" ht="16.05" customHeight="1">
      <c r="B412" s="650"/>
      <c r="C412" s="610"/>
      <c r="D412" s="134" t="s">
        <v>1034</v>
      </c>
      <c r="E412" s="134"/>
      <c r="F412" s="134"/>
      <c r="G412" s="135"/>
      <c r="H412" s="135"/>
      <c r="I412" s="135"/>
      <c r="J412" s="135"/>
      <c r="K412" s="135"/>
      <c r="L412" s="135"/>
      <c r="M412" s="135">
        <v>25596</v>
      </c>
      <c r="N412" s="135">
        <v>22273</v>
      </c>
      <c r="O412" s="135">
        <v>18328</v>
      </c>
      <c r="P412" s="135">
        <v>26467</v>
      </c>
      <c r="Q412" s="135">
        <v>11411</v>
      </c>
      <c r="R412" s="135">
        <v>9994</v>
      </c>
    </row>
    <row r="413" spans="2:18" ht="16.05" customHeight="1">
      <c r="B413" s="650"/>
      <c r="C413" s="647" t="s">
        <v>321</v>
      </c>
      <c r="D413" s="134" t="s">
        <v>944</v>
      </c>
      <c r="E413" s="134"/>
      <c r="F413" s="134"/>
      <c r="G413" s="135">
        <f t="shared" ref="G413:Q413" si="85">G410*G15</f>
        <v>0</v>
      </c>
      <c r="H413" s="135">
        <f t="shared" si="85"/>
        <v>0</v>
      </c>
      <c r="I413" s="135">
        <f t="shared" si="85"/>
        <v>0</v>
      </c>
      <c r="J413" s="135">
        <f t="shared" si="85"/>
        <v>0</v>
      </c>
      <c r="K413" s="135">
        <f t="shared" si="85"/>
        <v>0</v>
      </c>
      <c r="L413" s="135">
        <f t="shared" si="85"/>
        <v>0</v>
      </c>
      <c r="M413" s="135">
        <f t="shared" si="85"/>
        <v>12362</v>
      </c>
      <c r="N413" s="135">
        <f t="shared" si="85"/>
        <v>8926.4</v>
      </c>
      <c r="O413" s="135">
        <f t="shared" si="85"/>
        <v>9934.4</v>
      </c>
      <c r="P413" s="135">
        <f t="shared" si="85"/>
        <v>7755.9999999999991</v>
      </c>
      <c r="Q413" s="135">
        <f t="shared" si="85"/>
        <v>10460.015999999998</v>
      </c>
      <c r="R413" s="135">
        <f>R410*R15</f>
        <v>6812.4</v>
      </c>
    </row>
    <row r="414" spans="2:18" ht="16.05" customHeight="1">
      <c r="B414" s="650"/>
      <c r="C414" s="648"/>
      <c r="D414" s="134" t="s">
        <v>946</v>
      </c>
      <c r="E414" s="134"/>
      <c r="F414" s="134"/>
      <c r="G414" s="135">
        <f t="shared" ref="G414:Q414" si="86">G411*G17</f>
        <v>0</v>
      </c>
      <c r="H414" s="135">
        <f t="shared" si="86"/>
        <v>0</v>
      </c>
      <c r="I414" s="135">
        <f t="shared" si="86"/>
        <v>0</v>
      </c>
      <c r="J414" s="135">
        <f t="shared" si="86"/>
        <v>0</v>
      </c>
      <c r="K414" s="135">
        <f t="shared" si="86"/>
        <v>0</v>
      </c>
      <c r="L414" s="135">
        <f t="shared" si="86"/>
        <v>0</v>
      </c>
      <c r="M414" s="135">
        <f t="shared" si="86"/>
        <v>3302.2000000000003</v>
      </c>
      <c r="N414" s="135">
        <f t="shared" si="86"/>
        <v>6569.64</v>
      </c>
      <c r="O414" s="135">
        <f t="shared" si="86"/>
        <v>7495.52</v>
      </c>
      <c r="P414" s="135">
        <f t="shared" si="86"/>
        <v>8263.4</v>
      </c>
      <c r="Q414" s="135">
        <f t="shared" si="86"/>
        <v>8057.5575999999992</v>
      </c>
      <c r="R414" s="135">
        <f>R411*R17</f>
        <v>6711.84</v>
      </c>
    </row>
    <row r="415" spans="2:18" ht="16.05" customHeight="1">
      <c r="B415" s="650"/>
      <c r="C415" s="648"/>
      <c r="D415" s="134" t="s">
        <v>945</v>
      </c>
      <c r="E415" s="134"/>
      <c r="F415" s="134"/>
      <c r="G415" s="135">
        <f t="shared" ref="G415:Q415" si="87">G412*G19</f>
        <v>0</v>
      </c>
      <c r="H415" s="135">
        <f t="shared" si="87"/>
        <v>0</v>
      </c>
      <c r="I415" s="135">
        <f t="shared" si="87"/>
        <v>0</v>
      </c>
      <c r="J415" s="135">
        <f t="shared" si="87"/>
        <v>0</v>
      </c>
      <c r="K415" s="135">
        <f t="shared" si="87"/>
        <v>0</v>
      </c>
      <c r="L415" s="135">
        <f t="shared" si="87"/>
        <v>0</v>
      </c>
      <c r="M415" s="135">
        <f t="shared" si="87"/>
        <v>5887.08</v>
      </c>
      <c r="N415" s="135">
        <f t="shared" si="87"/>
        <v>5122.79</v>
      </c>
      <c r="O415" s="135">
        <f t="shared" si="87"/>
        <v>4215.4400000000005</v>
      </c>
      <c r="P415" s="135">
        <f t="shared" si="87"/>
        <v>6087.41</v>
      </c>
      <c r="Q415" s="135">
        <f t="shared" si="87"/>
        <v>2624.53</v>
      </c>
      <c r="R415" s="135">
        <f>R412*R19</f>
        <v>2298.62</v>
      </c>
    </row>
    <row r="416" spans="2:18" ht="16.05" customHeight="1">
      <c r="B416" s="650"/>
      <c r="C416" s="610"/>
      <c r="D416" s="422" t="s">
        <v>132</v>
      </c>
      <c r="E416" s="422"/>
      <c r="F416" s="422" t="s">
        <v>36</v>
      </c>
      <c r="G416" s="423">
        <f t="shared" ref="G416:Q416" si="88">SUM(G413:G415)</f>
        <v>0</v>
      </c>
      <c r="H416" s="423">
        <f t="shared" si="88"/>
        <v>0</v>
      </c>
      <c r="I416" s="423">
        <f t="shared" si="88"/>
        <v>0</v>
      </c>
      <c r="J416" s="423">
        <f t="shared" si="88"/>
        <v>0</v>
      </c>
      <c r="K416" s="423">
        <f t="shared" si="88"/>
        <v>0</v>
      </c>
      <c r="L416" s="423">
        <f t="shared" si="88"/>
        <v>0</v>
      </c>
      <c r="M416" s="423">
        <f t="shared" si="88"/>
        <v>21551.279999999999</v>
      </c>
      <c r="N416" s="423">
        <f t="shared" si="88"/>
        <v>20618.830000000002</v>
      </c>
      <c r="O416" s="423">
        <f t="shared" si="88"/>
        <v>21645.360000000001</v>
      </c>
      <c r="P416" s="423">
        <f t="shared" si="88"/>
        <v>22106.809999999998</v>
      </c>
      <c r="Q416" s="423">
        <f t="shared" si="88"/>
        <v>21142.103599999995</v>
      </c>
      <c r="R416" s="423">
        <f>SUM(R413:R415)</f>
        <v>15822.86</v>
      </c>
    </row>
    <row r="417" spans="2:18" ht="43.8" customHeight="1" thickBot="1">
      <c r="B417" s="651"/>
      <c r="C417" s="424" t="s">
        <v>1032</v>
      </c>
      <c r="D417" s="412" t="s">
        <v>132</v>
      </c>
      <c r="E417" s="412"/>
      <c r="F417" s="412" t="s">
        <v>36</v>
      </c>
      <c r="G417" s="413">
        <f t="shared" ref="G417:Q417" si="89">G416*G20</f>
        <v>0</v>
      </c>
      <c r="H417" s="413">
        <f t="shared" si="89"/>
        <v>0</v>
      </c>
      <c r="I417" s="413">
        <f t="shared" si="89"/>
        <v>0</v>
      </c>
      <c r="J417" s="413">
        <f t="shared" si="89"/>
        <v>0</v>
      </c>
      <c r="K417" s="413">
        <f t="shared" si="89"/>
        <v>0</v>
      </c>
      <c r="L417" s="413">
        <f t="shared" si="89"/>
        <v>0</v>
      </c>
      <c r="M417" s="413">
        <f t="shared" si="89"/>
        <v>2155.1280000000002</v>
      </c>
      <c r="N417" s="413">
        <f t="shared" si="89"/>
        <v>2061.8830000000003</v>
      </c>
      <c r="O417" s="413">
        <f t="shared" si="89"/>
        <v>2164.5360000000001</v>
      </c>
      <c r="P417" s="413">
        <f t="shared" si="89"/>
        <v>2210.681</v>
      </c>
      <c r="Q417" s="413">
        <f t="shared" si="89"/>
        <v>2114.2103599999996</v>
      </c>
      <c r="R417" s="413">
        <f>R416*R20</f>
        <v>1582.2860000000001</v>
      </c>
    </row>
    <row r="418" spans="2:18" ht="42" customHeight="1">
      <c r="B418" s="632" t="s">
        <v>958</v>
      </c>
      <c r="C418" s="421" t="s">
        <v>321</v>
      </c>
      <c r="D418" s="422" t="s">
        <v>132</v>
      </c>
      <c r="E418" s="422"/>
      <c r="F418" s="422" t="s">
        <v>36</v>
      </c>
      <c r="G418" s="423">
        <f t="shared" ref="G418:R418" si="90">G408+G268+G140</f>
        <v>6384497.3214999996</v>
      </c>
      <c r="H418" s="423">
        <f t="shared" si="90"/>
        <v>7105703.0655000005</v>
      </c>
      <c r="I418" s="423">
        <f t="shared" si="90"/>
        <v>5714049.4610000001</v>
      </c>
      <c r="J418" s="423">
        <f t="shared" si="90"/>
        <v>6113910.8125</v>
      </c>
      <c r="K418" s="423">
        <f t="shared" si="90"/>
        <v>6756026.8596000001</v>
      </c>
      <c r="L418" s="423">
        <f t="shared" si="90"/>
        <v>5080324.4953999994</v>
      </c>
      <c r="M418" s="423">
        <f t="shared" si="90"/>
        <v>5421484.2409999995</v>
      </c>
      <c r="N418" s="423">
        <f t="shared" si="90"/>
        <v>5411814.4469000008</v>
      </c>
      <c r="O418" s="423">
        <f t="shared" si="90"/>
        <v>3037356.7847659998</v>
      </c>
      <c r="P418" s="423">
        <f t="shared" si="90"/>
        <v>2813405.2201704998</v>
      </c>
      <c r="Q418" s="423">
        <f t="shared" si="90"/>
        <v>2952951.919067</v>
      </c>
      <c r="R418" s="423">
        <f t="shared" si="90"/>
        <v>2449249.3350999998</v>
      </c>
    </row>
    <row r="419" spans="2:18" ht="31.2" customHeight="1">
      <c r="B419" s="633"/>
      <c r="C419" s="430" t="s">
        <v>50</v>
      </c>
      <c r="D419" s="427" t="s">
        <v>132</v>
      </c>
      <c r="E419" s="427"/>
      <c r="F419" s="427" t="s">
        <v>36</v>
      </c>
      <c r="G419" s="428">
        <f>SQRT((G8*G268)^2+(G10*G408)^2+(G14*G140)^2)/(G140+G268+G408)</f>
        <v>0.20606472121298325</v>
      </c>
      <c r="H419" s="428">
        <f t="shared" ref="H419:N419" si="91">SQRT((H8*H268)^2+(H10*H408)^2+(H14*H140)^2)/(H140+H268+H408)</f>
        <v>0.21180504337943726</v>
      </c>
      <c r="I419" s="428">
        <f t="shared" si="91"/>
        <v>0.1993911176480247</v>
      </c>
      <c r="J419" s="428">
        <f t="shared" si="91"/>
        <v>0.20946947093866675</v>
      </c>
      <c r="K419" s="428">
        <f t="shared" si="91"/>
        <v>0.21468231166044219</v>
      </c>
      <c r="L419" s="428">
        <f t="shared" si="91"/>
        <v>0.20032434307996205</v>
      </c>
      <c r="M419" s="428">
        <f t="shared" si="91"/>
        <v>0.20985096927459806</v>
      </c>
      <c r="N419" s="428">
        <f t="shared" si="91"/>
        <v>0.21693822201581384</v>
      </c>
      <c r="O419" s="428">
        <f>SQRT((O8*O268)^2+(O12*O408)^2+(O14*O140)^2)/(O140+O268+O408)</f>
        <v>0.14684728051697313</v>
      </c>
      <c r="P419" s="428">
        <f>SQRT((P8*P268)^2+(P12*P408)^2+(P14*P140)^2)/(P140+P268+P408)</f>
        <v>0.14471157904772003</v>
      </c>
      <c r="Q419" s="428">
        <f>SQRT((Q8*Q268)^2+(Q12*Q408)^2+(Q14*Q140)^2)/(Q140+Q268+Q408)</f>
        <v>0.14160706059933853</v>
      </c>
      <c r="R419" s="428">
        <f>SQRT((R8*R268)^2+(R12*R408)^2+(R14*R140)^2)/(R140+R268+R408)</f>
        <v>0.16025239562685084</v>
      </c>
    </row>
    <row r="420" spans="2:18" ht="31.2" customHeight="1" thickBot="1">
      <c r="B420" s="634"/>
      <c r="C420" s="431" t="s">
        <v>961</v>
      </c>
      <c r="D420" s="432" t="s">
        <v>132</v>
      </c>
      <c r="E420" s="432"/>
      <c r="F420" s="432" t="s">
        <v>36</v>
      </c>
      <c r="G420" s="433">
        <f>G418*G419/1000</f>
        <v>1315.6196606399355</v>
      </c>
      <c r="H420" s="433">
        <f t="shared" ref="H420:R420" si="92">H418*H419/1000</f>
        <v>1505.023746029628</v>
      </c>
      <c r="I420" s="433">
        <f t="shared" si="92"/>
        <v>1139.3307083248831</v>
      </c>
      <c r="J420" s="433">
        <f t="shared" si="92"/>
        <v>1280.677663260569</v>
      </c>
      <c r="K420" s="433">
        <f t="shared" si="92"/>
        <v>1450.3994638589659</v>
      </c>
      <c r="L420" s="433">
        <f t="shared" si="92"/>
        <v>1017.7126671740446</v>
      </c>
      <c r="M420" s="433">
        <f t="shared" si="92"/>
        <v>1137.7037228808083</v>
      </c>
      <c r="N420" s="433">
        <f t="shared" si="92"/>
        <v>1174.0294039899811</v>
      </c>
      <c r="O420" s="433">
        <f t="shared" si="92"/>
        <v>446.02758380266437</v>
      </c>
      <c r="P420" s="433">
        <f t="shared" si="92"/>
        <v>407.13231191197144</v>
      </c>
      <c r="Q420" s="433">
        <f t="shared" si="92"/>
        <v>418.15884135025368</v>
      </c>
      <c r="R420" s="433">
        <f t="shared" si="92"/>
        <v>392.49807343724655</v>
      </c>
    </row>
    <row r="421" spans="2:18" ht="37.799999999999997" customHeight="1">
      <c r="B421" s="629" t="s">
        <v>1035</v>
      </c>
      <c r="C421" s="421" t="s">
        <v>321</v>
      </c>
      <c r="D421" s="422" t="s">
        <v>132</v>
      </c>
      <c r="E421" s="422"/>
      <c r="F421" s="422" t="s">
        <v>36</v>
      </c>
      <c r="G421" s="423">
        <f t="shared" ref="G421:R421" si="93">G408+G268+G235+G140</f>
        <v>6411852.4735000003</v>
      </c>
      <c r="H421" s="423">
        <f t="shared" si="93"/>
        <v>7131736.3695</v>
      </c>
      <c r="I421" s="423">
        <f t="shared" si="93"/>
        <v>5739326.9330000002</v>
      </c>
      <c r="J421" s="423">
        <f t="shared" si="93"/>
        <v>6137326.556499999</v>
      </c>
      <c r="K421" s="423">
        <f t="shared" si="93"/>
        <v>6778977.8316000002</v>
      </c>
      <c r="L421" s="423">
        <f t="shared" si="93"/>
        <v>5102592.8293999992</v>
      </c>
      <c r="M421" s="423">
        <f t="shared" si="93"/>
        <v>5443114.0909999991</v>
      </c>
      <c r="N421" s="423">
        <f t="shared" si="93"/>
        <v>5432305.9289000006</v>
      </c>
      <c r="O421" s="423">
        <f t="shared" si="93"/>
        <v>3057951.2927659997</v>
      </c>
      <c r="P421" s="423">
        <f t="shared" si="93"/>
        <v>2835075.7921705004</v>
      </c>
      <c r="Q421" s="423">
        <f t="shared" si="93"/>
        <v>2972101.6870670002</v>
      </c>
      <c r="R421" s="423">
        <f t="shared" si="93"/>
        <v>2464437.5191000002</v>
      </c>
    </row>
    <row r="422" spans="2:18" ht="37.799999999999997" customHeight="1">
      <c r="B422" s="630"/>
      <c r="C422" s="389" t="s">
        <v>960</v>
      </c>
      <c r="D422" s="427" t="s">
        <v>132</v>
      </c>
      <c r="E422" s="427"/>
      <c r="F422" s="427" t="s">
        <v>36</v>
      </c>
      <c r="G422" s="428">
        <f>SQRT((G6*G235)^2+(G8*G268)^2+(G10*G408)^2+(G14*G140)^2+(G16*G410)^2+(G18*G411)^2+(G20*G412)^2)/(G140+G235+G268+G408+G410+G411+G412)</f>
        <v>0.20518611543548987</v>
      </c>
      <c r="H422" s="428">
        <f t="shared" ref="H422:N422" si="94">SQRT((H6*H235)^2+(H8*H268)^2+(H10*H408)^2+(H14*H140)^2+(H16*H410)^2+(H18*H411)^2+(H20*H412)^2)/(H140+H235+H268+H408+H410+H411+H412)</f>
        <v>0.2110322637362137</v>
      </c>
      <c r="I422" s="428">
        <f t="shared" si="94"/>
        <v>0.19851353904982341</v>
      </c>
      <c r="J422" s="428">
        <f t="shared" si="94"/>
        <v>0.20867070403653806</v>
      </c>
      <c r="K422" s="428">
        <f t="shared" si="94"/>
        <v>0.21395580529824379</v>
      </c>
      <c r="L422" s="428">
        <f t="shared" si="94"/>
        <v>0.19945068106507291</v>
      </c>
      <c r="M422" s="428">
        <f t="shared" si="94"/>
        <v>0.20783226710316646</v>
      </c>
      <c r="N422" s="428">
        <f t="shared" si="94"/>
        <v>0.21503056268329016</v>
      </c>
      <c r="O422" s="428">
        <f>SQRT((O6*O235)^2+(O8*O268)^2+(O12*O408)^2+(O14*O140)^2+(O16*O410)^2+(O18*O411)^2+(O20*O412)^2)/(O140+O235+O268+O408+O410+O411+O412)</f>
        <v>0.14471397342686407</v>
      </c>
      <c r="P422" s="428">
        <f>SQRT((P6*P235)^2+(P8*P268)^2+(P12*P408)^2+(P14*P140)^2+(P16*P410)^2+(P18*P411)^2+(P20*P412)^2)/(P140+P235+P268+P408+P410+P411+P412)</f>
        <v>0.14201546069132223</v>
      </c>
      <c r="Q422" s="428">
        <f>SQRT((Q6*Q235)^2+(Q8*Q268)^2+(Q12*Q408)^2+(Q14*Q140)^2+(Q16*Q410)^2+(Q18*Q411)^2+(Q20*Q412)^2)/(Q140+Q235+Q268+Q408+Q410+Q411+Q412)</f>
        <v>0.13986426881866992</v>
      </c>
      <c r="R422" s="428">
        <f>SQRT((R6*R235)^2+(R8*R268)^2+(R12*R408)^2+(R14*R140)^2+(R16*R410)^2+(R18*R411)^2+(R20*R412)^2)/(R140+R235+R268+R408+R410+R411+R412)</f>
        <v>0.15833192907484506</v>
      </c>
    </row>
    <row r="423" spans="2:18" ht="37.799999999999997" customHeight="1" thickBot="1">
      <c r="B423" s="631"/>
      <c r="C423" s="424" t="s">
        <v>961</v>
      </c>
      <c r="D423" s="425" t="s">
        <v>132</v>
      </c>
      <c r="E423" s="425"/>
      <c r="F423" s="425" t="s">
        <v>36</v>
      </c>
      <c r="G423" s="433">
        <f>G422*G421/1000</f>
        <v>1315.6231017829023</v>
      </c>
      <c r="H423" s="433">
        <f t="shared" ref="H423:R423" si="95">H422*H421/1000</f>
        <v>1505.0264704254712</v>
      </c>
      <c r="I423" s="433">
        <f t="shared" si="95"/>
        <v>1139.3341012337987</v>
      </c>
      <c r="J423" s="433">
        <f t="shared" si="95"/>
        <v>1280.6802534469966</v>
      </c>
      <c r="K423" s="433">
        <f t="shared" si="95"/>
        <v>1450.4016610589204</v>
      </c>
      <c r="L423" s="433">
        <f t="shared" si="95"/>
        <v>1017.7156150215873</v>
      </c>
      <c r="M423" s="433">
        <f t="shared" si="95"/>
        <v>1131.2547416337209</v>
      </c>
      <c r="N423" s="433">
        <f t="shared" si="95"/>
        <v>1168.1118005591402</v>
      </c>
      <c r="O423" s="433">
        <f t="shared" si="95"/>
        <v>442.52828212198347</v>
      </c>
      <c r="P423" s="433">
        <f t="shared" si="95"/>
        <v>402.62459471990894</v>
      </c>
      <c r="Q423" s="433">
        <f t="shared" si="95"/>
        <v>415.69082931636126</v>
      </c>
      <c r="R423" s="433">
        <f t="shared" si="95"/>
        <v>390.1991464835283</v>
      </c>
    </row>
    <row r="426" spans="2:18">
      <c r="R426" s="31"/>
    </row>
    <row r="427" spans="2:18" ht="33.450000000000003" customHeight="1">
      <c r="R427" s="31"/>
    </row>
    <row r="428" spans="2:18">
      <c r="R428" s="31"/>
    </row>
    <row r="429" spans="2:18">
      <c r="R429" s="31"/>
    </row>
    <row r="430" spans="2:18" ht="13.2" customHeight="1">
      <c r="R430" s="31"/>
    </row>
    <row r="431" spans="2:18">
      <c r="R431" s="31"/>
    </row>
    <row r="432" spans="2:18">
      <c r="R432" s="31"/>
    </row>
    <row r="433" spans="18:18">
      <c r="R433" s="31"/>
    </row>
    <row r="434" spans="18:18">
      <c r="R434" s="31"/>
    </row>
    <row r="435" spans="18:18">
      <c r="R435" s="31"/>
    </row>
    <row r="436" spans="18:18">
      <c r="R436" s="31"/>
    </row>
    <row r="437" spans="18:18">
      <c r="R437" s="31"/>
    </row>
    <row r="438" spans="18:18">
      <c r="R438" s="31"/>
    </row>
    <row r="439" spans="18:18">
      <c r="R439" s="31"/>
    </row>
    <row r="440" spans="18:18">
      <c r="R440" s="31"/>
    </row>
    <row r="441" spans="18:18">
      <c r="R441" s="31"/>
    </row>
    <row r="442" spans="18:18">
      <c r="R442" s="31"/>
    </row>
    <row r="443" spans="18:18">
      <c r="R443" s="31"/>
    </row>
    <row r="444" spans="18:18">
      <c r="R444" s="31"/>
    </row>
    <row r="445" spans="18:18">
      <c r="R445" s="31"/>
    </row>
    <row r="446" spans="18:18">
      <c r="R446" s="31"/>
    </row>
    <row r="447" spans="18:18">
      <c r="R447" s="31"/>
    </row>
    <row r="448" spans="18:18">
      <c r="R448" s="31"/>
    </row>
    <row r="450" spans="25:26">
      <c r="Y450" s="387"/>
      <c r="Z450" s="386"/>
    </row>
    <row r="451" spans="25:26">
      <c r="Y451" s="387"/>
      <c r="Z451" s="386"/>
    </row>
    <row r="452" spans="25:26">
      <c r="Y452" s="387"/>
      <c r="Z452" s="386"/>
    </row>
  </sheetData>
  <mergeCells count="52">
    <mergeCell ref="D19:F19"/>
    <mergeCell ref="D20:F20"/>
    <mergeCell ref="D21:F21"/>
    <mergeCell ref="D8:F8"/>
    <mergeCell ref="D15:F15"/>
    <mergeCell ref="D16:F16"/>
    <mergeCell ref="D17:F17"/>
    <mergeCell ref="D18:F18"/>
    <mergeCell ref="C413:C416"/>
    <mergeCell ref="B410:B417"/>
    <mergeCell ref="B28:B141"/>
    <mergeCell ref="B237:B269"/>
    <mergeCell ref="B270:B409"/>
    <mergeCell ref="C317:C363"/>
    <mergeCell ref="C142:C188"/>
    <mergeCell ref="C189:C235"/>
    <mergeCell ref="C237:C252"/>
    <mergeCell ref="C253:C268"/>
    <mergeCell ref="C410:C412"/>
    <mergeCell ref="B142:B236"/>
    <mergeCell ref="N3:N4"/>
    <mergeCell ref="B421:B423"/>
    <mergeCell ref="B418:B420"/>
    <mergeCell ref="C270:C316"/>
    <mergeCell ref="C364:C408"/>
    <mergeCell ref="M3:M4"/>
    <mergeCell ref="L3:L4"/>
    <mergeCell ref="K3:K4"/>
    <mergeCell ref="J3:J4"/>
    <mergeCell ref="C85:C140"/>
    <mergeCell ref="D14:F14"/>
    <mergeCell ref="D13:F13"/>
    <mergeCell ref="D12:F12"/>
    <mergeCell ref="D11:F11"/>
    <mergeCell ref="D10:F10"/>
    <mergeCell ref="D9:F9"/>
    <mergeCell ref="B2:R2"/>
    <mergeCell ref="B3:B4"/>
    <mergeCell ref="C3:C4"/>
    <mergeCell ref="B26:R26"/>
    <mergeCell ref="C28:C84"/>
    <mergeCell ref="I3:I4"/>
    <mergeCell ref="H3:H4"/>
    <mergeCell ref="G3:G4"/>
    <mergeCell ref="D3:F4"/>
    <mergeCell ref="D5:F5"/>
    <mergeCell ref="D7:F7"/>
    <mergeCell ref="D6:F6"/>
    <mergeCell ref="R3:R4"/>
    <mergeCell ref="Q3:Q4"/>
    <mergeCell ref="P3:P4"/>
    <mergeCell ref="O3:O4"/>
  </mergeCells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8FA9F-9FD5-498E-BDDB-D8CE12F139AB}">
  <sheetPr>
    <tabColor theme="4"/>
  </sheetPr>
  <dimension ref="B2:AB34"/>
  <sheetViews>
    <sheetView showGridLines="0" topLeftCell="I3" zoomScale="90" workbookViewId="0">
      <selection activeCell="X6" sqref="X6"/>
    </sheetView>
  </sheetViews>
  <sheetFormatPr baseColWidth="10" defaultRowHeight="14.4"/>
  <cols>
    <col min="2" max="2" width="17.5546875" bestFit="1" customWidth="1"/>
    <col min="3" max="3" width="13" bestFit="1" customWidth="1"/>
    <col min="4" max="4" width="12" customWidth="1"/>
    <col min="5" max="5" width="14.5546875" customWidth="1"/>
    <col min="6" max="6" width="10.6640625" customWidth="1"/>
    <col min="7" max="7" width="14.88671875" customWidth="1"/>
    <col min="8" max="8" width="9.77734375" customWidth="1"/>
    <col min="9" max="9" width="15.33203125" customWidth="1"/>
    <col min="10" max="10" width="11.44140625" customWidth="1"/>
    <col min="11" max="11" width="8.33203125" customWidth="1"/>
    <col min="12" max="12" width="14.44140625" customWidth="1"/>
    <col min="13" max="13" width="9.5546875" customWidth="1"/>
    <col min="14" max="14" width="15.21875" customWidth="1"/>
    <col min="15" max="15" width="10.44140625" customWidth="1"/>
    <col min="17" max="29" width="11.5546875" customWidth="1"/>
  </cols>
  <sheetData>
    <row r="2" spans="2:28">
      <c r="B2" s="390"/>
      <c r="C2" s="390"/>
      <c r="D2" s="390"/>
      <c r="E2" s="390"/>
      <c r="F2" s="390"/>
      <c r="G2" s="390"/>
      <c r="H2" s="390"/>
      <c r="I2" s="390"/>
      <c r="J2" s="390"/>
      <c r="K2" s="390"/>
    </row>
    <row r="3" spans="2:28" ht="14.4" customHeight="1"/>
    <row r="4" spans="2:28" ht="14.4" customHeight="1">
      <c r="B4" s="31"/>
      <c r="C4" s="670" t="s">
        <v>948</v>
      </c>
      <c r="D4" s="670"/>
      <c r="E4" s="671" t="s">
        <v>10</v>
      </c>
      <c r="F4" s="671"/>
      <c r="G4" s="672" t="s">
        <v>44</v>
      </c>
      <c r="H4" s="672"/>
      <c r="L4" s="668" t="s">
        <v>20</v>
      </c>
      <c r="M4" s="669"/>
      <c r="N4" s="595" t="s">
        <v>1064</v>
      </c>
    </row>
    <row r="5" spans="2:28" ht="60.6" customHeight="1">
      <c r="B5" s="400" t="s">
        <v>949</v>
      </c>
      <c r="C5" s="391" t="s">
        <v>950</v>
      </c>
      <c r="D5" s="391" t="s">
        <v>951</v>
      </c>
      <c r="E5" s="394" t="s">
        <v>950</v>
      </c>
      <c r="F5" s="394" t="s">
        <v>951</v>
      </c>
      <c r="G5" s="396" t="s">
        <v>950</v>
      </c>
      <c r="H5" s="396" t="s">
        <v>952</v>
      </c>
      <c r="I5" s="398" t="s">
        <v>1124</v>
      </c>
      <c r="J5" s="398" t="s">
        <v>1125</v>
      </c>
      <c r="L5" s="588" t="s">
        <v>1123</v>
      </c>
      <c r="M5" s="588" t="s">
        <v>952</v>
      </c>
      <c r="N5" s="591" t="s">
        <v>952</v>
      </c>
      <c r="O5" s="398" t="s">
        <v>1126</v>
      </c>
    </row>
    <row r="6" spans="2:28" ht="14.4" customHeight="1">
      <c r="B6" s="400">
        <v>2009</v>
      </c>
      <c r="C6" s="392" cm="1">
        <f t="array" ref="C6:C17">TRANSPOSE('Données Energie'!G316:R316)/1000</f>
        <v>17544</v>
      </c>
      <c r="D6" s="392" cm="1">
        <f t="array" ref="D6:D17">TRANSPOSE('Données Energie'!G408:R408)/1000</f>
        <v>4368.4560000000001</v>
      </c>
      <c r="E6" s="395" cm="1">
        <f t="array" ref="E6:E17">TRANSPOSE('Données Energie'!G84:R84)/1000</f>
        <v>13368.148999999999</v>
      </c>
      <c r="F6" s="395" cm="1">
        <f t="array" ref="F6:F17">TRANSPOSE('Données Energie'!G140:R140)/1000</f>
        <v>1049.3996965000001</v>
      </c>
      <c r="G6" s="397" cm="1">
        <f t="array" ref="G6:G17">TRANSPOSE('Données Energie'!G252:R252)/1000</f>
        <v>4715.3249999999998</v>
      </c>
      <c r="H6" s="397" cm="1">
        <f t="array" ref="H6:H17">TRANSPOSE('Données Energie'!G268:R268)/1000</f>
        <v>966.64162499999998</v>
      </c>
      <c r="I6" s="399">
        <f t="shared" ref="I6:I17" si="0">SUM(C6,E6,G6)</f>
        <v>35627.473999999995</v>
      </c>
      <c r="J6" s="399">
        <f t="shared" ref="J6:J17" si="1">SUM(D6,F6,H6)</f>
        <v>6384.4973215000009</v>
      </c>
      <c r="L6" s="589" cm="1">
        <f t="array" ref="L6:L17">TRANSPOSE('Données Energie'!G188:R188)/1000</f>
        <v>207.23599999999999</v>
      </c>
      <c r="M6" s="589" cm="1">
        <f t="array" ref="M6:M17">TRANSPOSE('Données Energie'!G235:R235)/1000</f>
        <v>27.355151999999997</v>
      </c>
      <c r="N6" s="592" cm="1">
        <f t="array" ref="N6:N17">TRANSPOSE('Données Energie'!G416:R416)/1000</f>
        <v>0</v>
      </c>
      <c r="O6" s="399">
        <f t="shared" ref="O6:O17" si="2">D6+F6+H6+M6+N6</f>
        <v>6411.852473500001</v>
      </c>
    </row>
    <row r="7" spans="2:28" ht="14.4" customHeight="1">
      <c r="B7" s="400">
        <v>2010</v>
      </c>
      <c r="C7" s="392">
        <v>20084</v>
      </c>
      <c r="D7" s="392">
        <v>5000.9160000000002</v>
      </c>
      <c r="E7" s="395">
        <v>13744.442999999999</v>
      </c>
      <c r="F7" s="395">
        <v>1078.9387755</v>
      </c>
      <c r="G7" s="397">
        <v>5004.1379999999999</v>
      </c>
      <c r="H7" s="397">
        <v>1025.8482899999999</v>
      </c>
      <c r="I7" s="399">
        <f t="shared" si="0"/>
        <v>38832.580999999998</v>
      </c>
      <c r="J7" s="399">
        <f t="shared" si="1"/>
        <v>7105.7030654999999</v>
      </c>
      <c r="L7" s="589">
        <v>197.22200000000001</v>
      </c>
      <c r="M7" s="589">
        <v>26.033303999999998</v>
      </c>
      <c r="N7" s="592">
        <v>0</v>
      </c>
      <c r="O7" s="399">
        <f t="shared" si="2"/>
        <v>7131.7363694999995</v>
      </c>
    </row>
    <row r="8" spans="2:28" ht="14.4" customHeight="1">
      <c r="B8" s="400">
        <v>2011</v>
      </c>
      <c r="C8" s="392">
        <v>15176</v>
      </c>
      <c r="D8" s="392">
        <v>3778.8240000000001</v>
      </c>
      <c r="E8" s="395">
        <v>13325.245999999999</v>
      </c>
      <c r="F8" s="395">
        <v>1046.0318110000001</v>
      </c>
      <c r="G8" s="397">
        <v>4337.53</v>
      </c>
      <c r="H8" s="397">
        <v>889.19365000000005</v>
      </c>
      <c r="I8" s="399">
        <f t="shared" si="0"/>
        <v>32838.775999999998</v>
      </c>
      <c r="J8" s="399">
        <f t="shared" si="1"/>
        <v>5714.0494610000005</v>
      </c>
      <c r="L8" s="589">
        <v>191.49600000000001</v>
      </c>
      <c r="M8" s="589">
        <v>25.277472000000003</v>
      </c>
      <c r="N8" s="592">
        <v>0</v>
      </c>
      <c r="O8" s="399">
        <f t="shared" si="2"/>
        <v>5739.3269330000003</v>
      </c>
    </row>
    <row r="9" spans="2:28" ht="14.4" customHeight="1">
      <c r="B9" s="400">
        <v>2012</v>
      </c>
      <c r="C9" s="392">
        <v>17090</v>
      </c>
      <c r="D9" s="392">
        <v>4255.41</v>
      </c>
      <c r="E9" s="395">
        <v>12048.084999999999</v>
      </c>
      <c r="F9" s="395">
        <v>897.88967249999985</v>
      </c>
      <c r="G9" s="397">
        <v>4685.9080000000004</v>
      </c>
      <c r="H9" s="397">
        <v>960.61113999999975</v>
      </c>
      <c r="I9" s="399">
        <f t="shared" si="0"/>
        <v>33823.993000000002</v>
      </c>
      <c r="J9" s="399">
        <f t="shared" si="1"/>
        <v>6113.9108124999993</v>
      </c>
      <c r="L9" s="589">
        <v>177.392</v>
      </c>
      <c r="M9" s="589">
        <v>23.415744000000004</v>
      </c>
      <c r="N9" s="592">
        <v>0</v>
      </c>
      <c r="O9" s="399">
        <f t="shared" si="2"/>
        <v>6137.3265564999992</v>
      </c>
    </row>
    <row r="10" spans="2:28" ht="14.4" customHeight="1">
      <c r="B10" s="400">
        <v>2013</v>
      </c>
      <c r="C10" s="392">
        <v>19367</v>
      </c>
      <c r="D10" s="392">
        <v>4822.3829999999998</v>
      </c>
      <c r="E10" s="395">
        <v>12207.944</v>
      </c>
      <c r="F10" s="395">
        <v>892.42794960000003</v>
      </c>
      <c r="G10" s="397">
        <v>5079.1019999999999</v>
      </c>
      <c r="H10" s="397">
        <v>1041.2159099999999</v>
      </c>
      <c r="I10" s="399">
        <f t="shared" si="0"/>
        <v>36654.046000000002</v>
      </c>
      <c r="J10" s="399">
        <f t="shared" si="1"/>
        <v>6756.0268595999996</v>
      </c>
      <c r="L10" s="589">
        <v>173.87100000000001</v>
      </c>
      <c r="M10" s="589">
        <v>22.950972</v>
      </c>
      <c r="N10" s="592">
        <v>0</v>
      </c>
      <c r="O10" s="399">
        <f t="shared" si="2"/>
        <v>6778.9778315999993</v>
      </c>
    </row>
    <row r="11" spans="2:28" ht="14.4" customHeight="1">
      <c r="B11" s="400">
        <v>2014</v>
      </c>
      <c r="C11" s="392">
        <v>13563.5</v>
      </c>
      <c r="D11" s="392">
        <v>3377.3114999999998</v>
      </c>
      <c r="E11" s="395">
        <v>11933.674000000001</v>
      </c>
      <c r="F11" s="395">
        <v>860.41789539999979</v>
      </c>
      <c r="G11" s="397">
        <v>4110.22</v>
      </c>
      <c r="H11" s="397">
        <v>842.5951</v>
      </c>
      <c r="I11" s="399">
        <f t="shared" si="0"/>
        <v>29607.394</v>
      </c>
      <c r="J11" s="399">
        <f t="shared" si="1"/>
        <v>5080.3244954000002</v>
      </c>
      <c r="L11" s="589">
        <v>168.6995</v>
      </c>
      <c r="M11" s="589">
        <v>22.268334000000003</v>
      </c>
      <c r="N11" s="592">
        <v>0</v>
      </c>
      <c r="O11" s="399">
        <f t="shared" si="2"/>
        <v>5102.5928294000005</v>
      </c>
    </row>
    <row r="12" spans="2:28" ht="14.4" customHeight="1">
      <c r="B12" s="400">
        <v>2015</v>
      </c>
      <c r="C12" s="392">
        <v>15186.5</v>
      </c>
      <c r="D12" s="392">
        <v>3781.4385000000002</v>
      </c>
      <c r="E12" s="395">
        <v>12044.39</v>
      </c>
      <c r="F12" s="395">
        <v>733.50335100000018</v>
      </c>
      <c r="G12" s="397">
        <v>4422.1580000000004</v>
      </c>
      <c r="H12" s="397">
        <v>906.54238999999984</v>
      </c>
      <c r="I12" s="399">
        <f t="shared" si="0"/>
        <v>31653.047999999999</v>
      </c>
      <c r="J12" s="399">
        <f t="shared" si="1"/>
        <v>5421.4842410000001</v>
      </c>
      <c r="L12" s="589">
        <v>163.86250000000001</v>
      </c>
      <c r="M12" s="589">
        <v>21.629849999999998</v>
      </c>
      <c r="N12" s="593">
        <v>21.551279999999998</v>
      </c>
      <c r="O12" s="399">
        <f t="shared" si="2"/>
        <v>5464.6653710000001</v>
      </c>
      <c r="S12" s="390"/>
      <c r="T12" s="390"/>
      <c r="U12" s="390"/>
      <c r="V12" s="390"/>
      <c r="W12" s="390"/>
      <c r="X12" s="390"/>
      <c r="Y12" s="390"/>
      <c r="Z12" s="390"/>
      <c r="AA12" s="390"/>
      <c r="AB12" s="390"/>
    </row>
    <row r="13" spans="2:28" ht="14.4" customHeight="1">
      <c r="B13" s="400">
        <v>2016</v>
      </c>
      <c r="C13" s="393">
        <v>15681.28</v>
      </c>
      <c r="D13" s="392">
        <v>3904.6387200000008</v>
      </c>
      <c r="E13" s="395">
        <v>11588.903</v>
      </c>
      <c r="F13" s="395">
        <v>664.04414189999989</v>
      </c>
      <c r="G13" s="397">
        <v>4112.8370000000004</v>
      </c>
      <c r="H13" s="397">
        <v>843.13158499999997</v>
      </c>
      <c r="I13" s="399">
        <f t="shared" si="0"/>
        <v>31383.02</v>
      </c>
      <c r="J13" s="399">
        <f t="shared" si="1"/>
        <v>5411.8144469000008</v>
      </c>
      <c r="L13" s="589">
        <v>155.23849999999999</v>
      </c>
      <c r="M13" s="589">
        <v>20.491482000000001</v>
      </c>
      <c r="N13" s="593">
        <v>20.618830000000003</v>
      </c>
      <c r="O13" s="399">
        <f t="shared" si="2"/>
        <v>5452.9247589000015</v>
      </c>
    </row>
    <row r="14" spans="2:28" ht="14.4" customHeight="1">
      <c r="B14" s="400">
        <v>2017</v>
      </c>
      <c r="C14" s="393">
        <v>14687.489</v>
      </c>
      <c r="D14" s="392">
        <v>1460.5020766</v>
      </c>
      <c r="E14" s="395">
        <v>12805.369770000001</v>
      </c>
      <c r="F14" s="395">
        <v>714.53963316599993</v>
      </c>
      <c r="G14" s="397">
        <v>4132.5280000000002</v>
      </c>
      <c r="H14" s="397">
        <v>862.31507500000009</v>
      </c>
      <c r="I14" s="399">
        <f t="shared" si="0"/>
        <v>31625.386769999997</v>
      </c>
      <c r="J14" s="399">
        <f t="shared" si="1"/>
        <v>3037.3567847660001</v>
      </c>
      <c r="L14" s="589">
        <v>156.01900000000001</v>
      </c>
      <c r="M14" s="589">
        <v>20.594507999999998</v>
      </c>
      <c r="N14" s="593">
        <v>21.64536</v>
      </c>
      <c r="O14" s="399">
        <f t="shared" si="2"/>
        <v>3079.5966527660003</v>
      </c>
      <c r="S14" s="368"/>
      <c r="T14" s="368"/>
      <c r="U14" s="368"/>
      <c r="V14" s="368"/>
      <c r="W14" s="368"/>
      <c r="X14" s="368"/>
      <c r="Y14" s="368"/>
      <c r="Z14" s="368"/>
      <c r="AA14" s="368"/>
      <c r="AB14" s="368"/>
    </row>
    <row r="15" spans="2:28" ht="14.4" customHeight="1">
      <c r="B15" s="400">
        <v>2018</v>
      </c>
      <c r="C15" s="393">
        <v>13401</v>
      </c>
      <c r="D15" s="392">
        <v>1330.6548</v>
      </c>
      <c r="E15" s="395">
        <v>12201.969355000001</v>
      </c>
      <c r="F15" s="395">
        <v>696.73245017049999</v>
      </c>
      <c r="G15" s="397">
        <v>3751.5839999999998</v>
      </c>
      <c r="H15" s="397">
        <v>786.01796999999999</v>
      </c>
      <c r="I15" s="399">
        <f t="shared" si="0"/>
        <v>29354.553355</v>
      </c>
      <c r="J15" s="399">
        <f t="shared" si="1"/>
        <v>2813.4052201704999</v>
      </c>
      <c r="L15" s="589">
        <v>164.17099999999999</v>
      </c>
      <c r="M15" s="589">
        <v>21.670572</v>
      </c>
      <c r="N15" s="593">
        <v>22.106809999999999</v>
      </c>
      <c r="O15" s="399">
        <f t="shared" si="2"/>
        <v>2857.1826021705001</v>
      </c>
      <c r="S15" s="368"/>
      <c r="T15" s="368"/>
      <c r="U15" s="368"/>
      <c r="V15" s="368"/>
      <c r="W15" s="368"/>
      <c r="X15" s="368"/>
      <c r="Y15" s="368"/>
      <c r="Z15" s="368"/>
      <c r="AA15" s="368"/>
      <c r="AB15" s="368"/>
    </row>
    <row r="16" spans="2:28" ht="14.4" customHeight="1">
      <c r="B16" s="400">
        <v>2019</v>
      </c>
      <c r="C16" s="393">
        <v>13646</v>
      </c>
      <c r="D16" s="392">
        <v>1363.096</v>
      </c>
      <c r="E16" s="395">
        <v>12721.177809999999</v>
      </c>
      <c r="F16" s="395">
        <v>772.17549406700005</v>
      </c>
      <c r="G16" s="397">
        <v>3929.636</v>
      </c>
      <c r="H16" s="397">
        <v>817.68042500000001</v>
      </c>
      <c r="I16" s="399">
        <f t="shared" si="0"/>
        <v>30296.81381</v>
      </c>
      <c r="J16" s="399">
        <f t="shared" si="1"/>
        <v>2952.9519190670003</v>
      </c>
      <c r="L16" s="589">
        <v>145.07400000000001</v>
      </c>
      <c r="M16" s="589">
        <v>19.149768000000002</v>
      </c>
      <c r="N16" s="593">
        <v>21.142103599999995</v>
      </c>
      <c r="O16" s="399">
        <f t="shared" si="2"/>
        <v>2993.2437906670007</v>
      </c>
      <c r="S16" s="368"/>
      <c r="T16" s="368"/>
      <c r="U16" s="368"/>
      <c r="V16" s="368"/>
      <c r="W16" s="368"/>
      <c r="X16" s="368"/>
      <c r="Y16" s="368"/>
      <c r="Z16" s="368"/>
      <c r="AA16" s="368"/>
      <c r="AB16" s="368"/>
    </row>
    <row r="17" spans="2:25" ht="14.4" customHeight="1">
      <c r="B17" s="400">
        <v>2020</v>
      </c>
      <c r="C17" s="401">
        <v>12970</v>
      </c>
      <c r="D17" s="401">
        <v>1287.2813600000002</v>
      </c>
      <c r="E17" s="395">
        <v>10908.849</v>
      </c>
      <c r="F17" s="395">
        <v>653.4400551</v>
      </c>
      <c r="G17" s="402">
        <v>2419.5839999999998</v>
      </c>
      <c r="H17" s="402">
        <v>508.52791999999999</v>
      </c>
      <c r="I17" s="399">
        <f t="shared" si="0"/>
        <v>26298.433000000001</v>
      </c>
      <c r="J17" s="399">
        <f t="shared" si="1"/>
        <v>2449.2493351000003</v>
      </c>
      <c r="L17" s="590">
        <v>115.062</v>
      </c>
      <c r="M17" s="590">
        <v>15.188184</v>
      </c>
      <c r="N17" s="594">
        <v>15.82286</v>
      </c>
      <c r="O17" s="399">
        <f t="shared" si="2"/>
        <v>2480.2603791000006</v>
      </c>
    </row>
    <row r="18" spans="2:25" ht="14.4" customHeight="1"/>
    <row r="19" spans="2:25" ht="14.4" customHeight="1"/>
    <row r="20" spans="2:25" ht="14.4" customHeight="1"/>
    <row r="21" spans="2:25" ht="14.4" customHeight="1"/>
    <row r="22" spans="2:25" ht="14.4" customHeight="1"/>
    <row r="23" spans="2:25" ht="14.4" customHeight="1">
      <c r="X23" s="426"/>
      <c r="Y23" s="426"/>
    </row>
    <row r="24" spans="2:25" ht="14.4" customHeight="1">
      <c r="X24" s="426"/>
      <c r="Y24" s="426"/>
    </row>
    <row r="25" spans="2:25" ht="14.4" customHeight="1">
      <c r="X25" s="426"/>
      <c r="Y25" s="426"/>
    </row>
    <row r="26" spans="2:25">
      <c r="X26" s="426"/>
      <c r="Y26" s="426"/>
    </row>
    <row r="27" spans="2:25">
      <c r="X27" s="426"/>
      <c r="Y27" s="426"/>
    </row>
    <row r="28" spans="2:25">
      <c r="X28" s="426"/>
      <c r="Y28" s="426"/>
    </row>
    <row r="29" spans="2:25">
      <c r="X29" s="426"/>
      <c r="Y29" s="426"/>
    </row>
    <row r="30" spans="2:25">
      <c r="X30" s="426"/>
      <c r="Y30" s="426"/>
    </row>
    <row r="31" spans="2:25">
      <c r="X31" s="426"/>
      <c r="Y31" s="426"/>
    </row>
    <row r="32" spans="2:25">
      <c r="X32" s="426"/>
      <c r="Y32" s="426"/>
    </row>
    <row r="33" spans="24:25">
      <c r="X33" s="426"/>
      <c r="Y33" s="426"/>
    </row>
    <row r="34" spans="24:25">
      <c r="X34" s="426"/>
      <c r="Y34" s="426"/>
    </row>
  </sheetData>
  <mergeCells count="4">
    <mergeCell ref="L4:M4"/>
    <mergeCell ref="C4:D4"/>
    <mergeCell ref="E4:F4"/>
    <mergeCell ref="G4:H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8DBA-9B03-4FDC-AC12-E18C444B1140}">
  <sheetPr>
    <tabColor theme="4"/>
  </sheetPr>
  <dimension ref="B1:S71"/>
  <sheetViews>
    <sheetView zoomScale="90" zoomScaleNormal="90" workbookViewId="0">
      <selection activeCell="I30" sqref="I30"/>
    </sheetView>
  </sheetViews>
  <sheetFormatPr baseColWidth="10" defaultColWidth="11.44140625" defaultRowHeight="13.2"/>
  <cols>
    <col min="1" max="2" width="11.44140625" style="31" customWidth="1"/>
    <col min="3" max="3" width="17.77734375" style="31" customWidth="1"/>
    <col min="4" max="4" width="16.44140625" style="31" customWidth="1"/>
    <col min="5" max="5" width="18.33203125" style="31" customWidth="1"/>
    <col min="6" max="6" width="16.109375" style="31" customWidth="1"/>
    <col min="7" max="7" width="12.77734375" style="31" customWidth="1"/>
    <col min="8" max="8" width="12.6640625" style="31" customWidth="1"/>
    <col min="9" max="9" width="13" style="31" customWidth="1"/>
    <col min="10" max="11" width="11.44140625" style="31" customWidth="1"/>
    <col min="12" max="12" width="17.109375" style="31" customWidth="1"/>
    <col min="13" max="13" width="13.77734375" style="31" customWidth="1"/>
    <col min="14" max="14" width="11.44140625" style="31" customWidth="1"/>
    <col min="15" max="15" width="12.77734375" style="31" customWidth="1"/>
    <col min="16" max="258" width="11.44140625" style="31"/>
    <col min="259" max="259" width="17.77734375" style="31" customWidth="1"/>
    <col min="260" max="260" width="16.44140625" style="31" customWidth="1"/>
    <col min="261" max="261" width="18.33203125" style="31" customWidth="1"/>
    <col min="262" max="262" width="16.109375" style="31" customWidth="1"/>
    <col min="263" max="263" width="12.77734375" style="31" customWidth="1"/>
    <col min="264" max="264" width="12.6640625" style="31" customWidth="1"/>
    <col min="265" max="265" width="13" style="31" customWidth="1"/>
    <col min="266" max="268" width="11.44140625" style="31"/>
    <col min="269" max="269" width="13.77734375" style="31" customWidth="1"/>
    <col min="270" max="270" width="11.44140625" style="31"/>
    <col min="271" max="271" width="12.77734375" style="31" customWidth="1"/>
    <col min="272" max="514" width="11.44140625" style="31"/>
    <col min="515" max="515" width="17.77734375" style="31" customWidth="1"/>
    <col min="516" max="516" width="16.44140625" style="31" customWidth="1"/>
    <col min="517" max="517" width="18.33203125" style="31" customWidth="1"/>
    <col min="518" max="518" width="16.109375" style="31" customWidth="1"/>
    <col min="519" max="519" width="12.77734375" style="31" customWidth="1"/>
    <col min="520" max="520" width="12.6640625" style="31" customWidth="1"/>
    <col min="521" max="521" width="13" style="31" customWidth="1"/>
    <col min="522" max="524" width="11.44140625" style="31"/>
    <col min="525" max="525" width="13.77734375" style="31" customWidth="1"/>
    <col min="526" max="526" width="11.44140625" style="31"/>
    <col min="527" max="527" width="12.77734375" style="31" customWidth="1"/>
    <col min="528" max="770" width="11.44140625" style="31"/>
    <col min="771" max="771" width="17.77734375" style="31" customWidth="1"/>
    <col min="772" max="772" width="16.44140625" style="31" customWidth="1"/>
    <col min="773" max="773" width="18.33203125" style="31" customWidth="1"/>
    <col min="774" max="774" width="16.109375" style="31" customWidth="1"/>
    <col min="775" max="775" width="12.77734375" style="31" customWidth="1"/>
    <col min="776" max="776" width="12.6640625" style="31" customWidth="1"/>
    <col min="777" max="777" width="13" style="31" customWidth="1"/>
    <col min="778" max="780" width="11.44140625" style="31"/>
    <col min="781" max="781" width="13.77734375" style="31" customWidth="1"/>
    <col min="782" max="782" width="11.44140625" style="31"/>
    <col min="783" max="783" width="12.77734375" style="31" customWidth="1"/>
    <col min="784" max="1026" width="11.44140625" style="31"/>
    <col min="1027" max="1027" width="17.77734375" style="31" customWidth="1"/>
    <col min="1028" max="1028" width="16.44140625" style="31" customWidth="1"/>
    <col min="1029" max="1029" width="18.33203125" style="31" customWidth="1"/>
    <col min="1030" max="1030" width="16.109375" style="31" customWidth="1"/>
    <col min="1031" max="1031" width="12.77734375" style="31" customWidth="1"/>
    <col min="1032" max="1032" width="12.6640625" style="31" customWidth="1"/>
    <col min="1033" max="1033" width="13" style="31" customWidth="1"/>
    <col min="1034" max="1036" width="11.44140625" style="31"/>
    <col min="1037" max="1037" width="13.77734375" style="31" customWidth="1"/>
    <col min="1038" max="1038" width="11.44140625" style="31"/>
    <col min="1039" max="1039" width="12.77734375" style="31" customWidth="1"/>
    <col min="1040" max="1282" width="11.44140625" style="31"/>
    <col min="1283" max="1283" width="17.77734375" style="31" customWidth="1"/>
    <col min="1284" max="1284" width="16.44140625" style="31" customWidth="1"/>
    <col min="1285" max="1285" width="18.33203125" style="31" customWidth="1"/>
    <col min="1286" max="1286" width="16.109375" style="31" customWidth="1"/>
    <col min="1287" max="1287" width="12.77734375" style="31" customWidth="1"/>
    <col min="1288" max="1288" width="12.6640625" style="31" customWidth="1"/>
    <col min="1289" max="1289" width="13" style="31" customWidth="1"/>
    <col min="1290" max="1292" width="11.44140625" style="31"/>
    <col min="1293" max="1293" width="13.77734375" style="31" customWidth="1"/>
    <col min="1294" max="1294" width="11.44140625" style="31"/>
    <col min="1295" max="1295" width="12.77734375" style="31" customWidth="1"/>
    <col min="1296" max="1538" width="11.44140625" style="31"/>
    <col min="1539" max="1539" width="17.77734375" style="31" customWidth="1"/>
    <col min="1540" max="1540" width="16.44140625" style="31" customWidth="1"/>
    <col min="1541" max="1541" width="18.33203125" style="31" customWidth="1"/>
    <col min="1542" max="1542" width="16.109375" style="31" customWidth="1"/>
    <col min="1543" max="1543" width="12.77734375" style="31" customWidth="1"/>
    <col min="1544" max="1544" width="12.6640625" style="31" customWidth="1"/>
    <col min="1545" max="1545" width="13" style="31" customWidth="1"/>
    <col min="1546" max="1548" width="11.44140625" style="31"/>
    <col min="1549" max="1549" width="13.77734375" style="31" customWidth="1"/>
    <col min="1550" max="1550" width="11.44140625" style="31"/>
    <col min="1551" max="1551" width="12.77734375" style="31" customWidth="1"/>
    <col min="1552" max="1794" width="11.44140625" style="31"/>
    <col min="1795" max="1795" width="17.77734375" style="31" customWidth="1"/>
    <col min="1796" max="1796" width="16.44140625" style="31" customWidth="1"/>
    <col min="1797" max="1797" width="18.33203125" style="31" customWidth="1"/>
    <col min="1798" max="1798" width="16.109375" style="31" customWidth="1"/>
    <col min="1799" max="1799" width="12.77734375" style="31" customWidth="1"/>
    <col min="1800" max="1800" width="12.6640625" style="31" customWidth="1"/>
    <col min="1801" max="1801" width="13" style="31" customWidth="1"/>
    <col min="1802" max="1804" width="11.44140625" style="31"/>
    <col min="1805" max="1805" width="13.77734375" style="31" customWidth="1"/>
    <col min="1806" max="1806" width="11.44140625" style="31"/>
    <col min="1807" max="1807" width="12.77734375" style="31" customWidth="1"/>
    <col min="1808" max="2050" width="11.44140625" style="31"/>
    <col min="2051" max="2051" width="17.77734375" style="31" customWidth="1"/>
    <col min="2052" max="2052" width="16.44140625" style="31" customWidth="1"/>
    <col min="2053" max="2053" width="18.33203125" style="31" customWidth="1"/>
    <col min="2054" max="2054" width="16.109375" style="31" customWidth="1"/>
    <col min="2055" max="2055" width="12.77734375" style="31" customWidth="1"/>
    <col min="2056" max="2056" width="12.6640625" style="31" customWidth="1"/>
    <col min="2057" max="2057" width="13" style="31" customWidth="1"/>
    <col min="2058" max="2060" width="11.44140625" style="31"/>
    <col min="2061" max="2061" width="13.77734375" style="31" customWidth="1"/>
    <col min="2062" max="2062" width="11.44140625" style="31"/>
    <col min="2063" max="2063" width="12.77734375" style="31" customWidth="1"/>
    <col min="2064" max="2306" width="11.44140625" style="31"/>
    <col min="2307" max="2307" width="17.77734375" style="31" customWidth="1"/>
    <col min="2308" max="2308" width="16.44140625" style="31" customWidth="1"/>
    <col min="2309" max="2309" width="18.33203125" style="31" customWidth="1"/>
    <col min="2310" max="2310" width="16.109375" style="31" customWidth="1"/>
    <col min="2311" max="2311" width="12.77734375" style="31" customWidth="1"/>
    <col min="2312" max="2312" width="12.6640625" style="31" customWidth="1"/>
    <col min="2313" max="2313" width="13" style="31" customWidth="1"/>
    <col min="2314" max="2316" width="11.44140625" style="31"/>
    <col min="2317" max="2317" width="13.77734375" style="31" customWidth="1"/>
    <col min="2318" max="2318" width="11.44140625" style="31"/>
    <col min="2319" max="2319" width="12.77734375" style="31" customWidth="1"/>
    <col min="2320" max="2562" width="11.44140625" style="31"/>
    <col min="2563" max="2563" width="17.77734375" style="31" customWidth="1"/>
    <col min="2564" max="2564" width="16.44140625" style="31" customWidth="1"/>
    <col min="2565" max="2565" width="18.33203125" style="31" customWidth="1"/>
    <col min="2566" max="2566" width="16.109375" style="31" customWidth="1"/>
    <col min="2567" max="2567" width="12.77734375" style="31" customWidth="1"/>
    <col min="2568" max="2568" width="12.6640625" style="31" customWidth="1"/>
    <col min="2569" max="2569" width="13" style="31" customWidth="1"/>
    <col min="2570" max="2572" width="11.44140625" style="31"/>
    <col min="2573" max="2573" width="13.77734375" style="31" customWidth="1"/>
    <col min="2574" max="2574" width="11.44140625" style="31"/>
    <col min="2575" max="2575" width="12.77734375" style="31" customWidth="1"/>
    <col min="2576" max="2818" width="11.44140625" style="31"/>
    <col min="2819" max="2819" width="17.77734375" style="31" customWidth="1"/>
    <col min="2820" max="2820" width="16.44140625" style="31" customWidth="1"/>
    <col min="2821" max="2821" width="18.33203125" style="31" customWidth="1"/>
    <col min="2822" max="2822" width="16.109375" style="31" customWidth="1"/>
    <col min="2823" max="2823" width="12.77734375" style="31" customWidth="1"/>
    <col min="2824" max="2824" width="12.6640625" style="31" customWidth="1"/>
    <col min="2825" max="2825" width="13" style="31" customWidth="1"/>
    <col min="2826" max="2828" width="11.44140625" style="31"/>
    <col min="2829" max="2829" width="13.77734375" style="31" customWidth="1"/>
    <col min="2830" max="2830" width="11.44140625" style="31"/>
    <col min="2831" max="2831" width="12.77734375" style="31" customWidth="1"/>
    <col min="2832" max="3074" width="11.44140625" style="31"/>
    <col min="3075" max="3075" width="17.77734375" style="31" customWidth="1"/>
    <col min="3076" max="3076" width="16.44140625" style="31" customWidth="1"/>
    <col min="3077" max="3077" width="18.33203125" style="31" customWidth="1"/>
    <col min="3078" max="3078" width="16.109375" style="31" customWidth="1"/>
    <col min="3079" max="3079" width="12.77734375" style="31" customWidth="1"/>
    <col min="3080" max="3080" width="12.6640625" style="31" customWidth="1"/>
    <col min="3081" max="3081" width="13" style="31" customWidth="1"/>
    <col min="3082" max="3084" width="11.44140625" style="31"/>
    <col min="3085" max="3085" width="13.77734375" style="31" customWidth="1"/>
    <col min="3086" max="3086" width="11.44140625" style="31"/>
    <col min="3087" max="3087" width="12.77734375" style="31" customWidth="1"/>
    <col min="3088" max="3330" width="11.44140625" style="31"/>
    <col min="3331" max="3331" width="17.77734375" style="31" customWidth="1"/>
    <col min="3332" max="3332" width="16.44140625" style="31" customWidth="1"/>
    <col min="3333" max="3333" width="18.33203125" style="31" customWidth="1"/>
    <col min="3334" max="3334" width="16.109375" style="31" customWidth="1"/>
    <col min="3335" max="3335" width="12.77734375" style="31" customWidth="1"/>
    <col min="3336" max="3336" width="12.6640625" style="31" customWidth="1"/>
    <col min="3337" max="3337" width="13" style="31" customWidth="1"/>
    <col min="3338" max="3340" width="11.44140625" style="31"/>
    <col min="3341" max="3341" width="13.77734375" style="31" customWidth="1"/>
    <col min="3342" max="3342" width="11.44140625" style="31"/>
    <col min="3343" max="3343" width="12.77734375" style="31" customWidth="1"/>
    <col min="3344" max="3586" width="11.44140625" style="31"/>
    <col min="3587" max="3587" width="17.77734375" style="31" customWidth="1"/>
    <col min="3588" max="3588" width="16.44140625" style="31" customWidth="1"/>
    <col min="3589" max="3589" width="18.33203125" style="31" customWidth="1"/>
    <col min="3590" max="3590" width="16.109375" style="31" customWidth="1"/>
    <col min="3591" max="3591" width="12.77734375" style="31" customWidth="1"/>
    <col min="3592" max="3592" width="12.6640625" style="31" customWidth="1"/>
    <col min="3593" max="3593" width="13" style="31" customWidth="1"/>
    <col min="3594" max="3596" width="11.44140625" style="31"/>
    <col min="3597" max="3597" width="13.77734375" style="31" customWidth="1"/>
    <col min="3598" max="3598" width="11.44140625" style="31"/>
    <col min="3599" max="3599" width="12.77734375" style="31" customWidth="1"/>
    <col min="3600" max="3842" width="11.44140625" style="31"/>
    <col min="3843" max="3843" width="17.77734375" style="31" customWidth="1"/>
    <col min="3844" max="3844" width="16.44140625" style="31" customWidth="1"/>
    <col min="3845" max="3845" width="18.33203125" style="31" customWidth="1"/>
    <col min="3846" max="3846" width="16.109375" style="31" customWidth="1"/>
    <col min="3847" max="3847" width="12.77734375" style="31" customWidth="1"/>
    <col min="3848" max="3848" width="12.6640625" style="31" customWidth="1"/>
    <col min="3849" max="3849" width="13" style="31" customWidth="1"/>
    <col min="3850" max="3852" width="11.44140625" style="31"/>
    <col min="3853" max="3853" width="13.77734375" style="31" customWidth="1"/>
    <col min="3854" max="3854" width="11.44140625" style="31"/>
    <col min="3855" max="3855" width="12.77734375" style="31" customWidth="1"/>
    <col min="3856" max="4098" width="11.44140625" style="31"/>
    <col min="4099" max="4099" width="17.77734375" style="31" customWidth="1"/>
    <col min="4100" max="4100" width="16.44140625" style="31" customWidth="1"/>
    <col min="4101" max="4101" width="18.33203125" style="31" customWidth="1"/>
    <col min="4102" max="4102" width="16.109375" style="31" customWidth="1"/>
    <col min="4103" max="4103" width="12.77734375" style="31" customWidth="1"/>
    <col min="4104" max="4104" width="12.6640625" style="31" customWidth="1"/>
    <col min="4105" max="4105" width="13" style="31" customWidth="1"/>
    <col min="4106" max="4108" width="11.44140625" style="31"/>
    <col min="4109" max="4109" width="13.77734375" style="31" customWidth="1"/>
    <col min="4110" max="4110" width="11.44140625" style="31"/>
    <col min="4111" max="4111" width="12.77734375" style="31" customWidth="1"/>
    <col min="4112" max="4354" width="11.44140625" style="31"/>
    <col min="4355" max="4355" width="17.77734375" style="31" customWidth="1"/>
    <col min="4356" max="4356" width="16.44140625" style="31" customWidth="1"/>
    <col min="4357" max="4357" width="18.33203125" style="31" customWidth="1"/>
    <col min="4358" max="4358" width="16.109375" style="31" customWidth="1"/>
    <col min="4359" max="4359" width="12.77734375" style="31" customWidth="1"/>
    <col min="4360" max="4360" width="12.6640625" style="31" customWidth="1"/>
    <col min="4361" max="4361" width="13" style="31" customWidth="1"/>
    <col min="4362" max="4364" width="11.44140625" style="31"/>
    <col min="4365" max="4365" width="13.77734375" style="31" customWidth="1"/>
    <col min="4366" max="4366" width="11.44140625" style="31"/>
    <col min="4367" max="4367" width="12.77734375" style="31" customWidth="1"/>
    <col min="4368" max="4610" width="11.44140625" style="31"/>
    <col min="4611" max="4611" width="17.77734375" style="31" customWidth="1"/>
    <col min="4612" max="4612" width="16.44140625" style="31" customWidth="1"/>
    <col min="4613" max="4613" width="18.33203125" style="31" customWidth="1"/>
    <col min="4614" max="4614" width="16.109375" style="31" customWidth="1"/>
    <col min="4615" max="4615" width="12.77734375" style="31" customWidth="1"/>
    <col min="4616" max="4616" width="12.6640625" style="31" customWidth="1"/>
    <col min="4617" max="4617" width="13" style="31" customWidth="1"/>
    <col min="4618" max="4620" width="11.44140625" style="31"/>
    <col min="4621" max="4621" width="13.77734375" style="31" customWidth="1"/>
    <col min="4622" max="4622" width="11.44140625" style="31"/>
    <col min="4623" max="4623" width="12.77734375" style="31" customWidth="1"/>
    <col min="4624" max="4866" width="11.44140625" style="31"/>
    <col min="4867" max="4867" width="17.77734375" style="31" customWidth="1"/>
    <col min="4868" max="4868" width="16.44140625" style="31" customWidth="1"/>
    <col min="4869" max="4869" width="18.33203125" style="31" customWidth="1"/>
    <col min="4870" max="4870" width="16.109375" style="31" customWidth="1"/>
    <col min="4871" max="4871" width="12.77734375" style="31" customWidth="1"/>
    <col min="4872" max="4872" width="12.6640625" style="31" customWidth="1"/>
    <col min="4873" max="4873" width="13" style="31" customWidth="1"/>
    <col min="4874" max="4876" width="11.44140625" style="31"/>
    <col min="4877" max="4877" width="13.77734375" style="31" customWidth="1"/>
    <col min="4878" max="4878" width="11.44140625" style="31"/>
    <col min="4879" max="4879" width="12.77734375" style="31" customWidth="1"/>
    <col min="4880" max="5122" width="11.44140625" style="31"/>
    <col min="5123" max="5123" width="17.77734375" style="31" customWidth="1"/>
    <col min="5124" max="5124" width="16.44140625" style="31" customWidth="1"/>
    <col min="5125" max="5125" width="18.33203125" style="31" customWidth="1"/>
    <col min="5126" max="5126" width="16.109375" style="31" customWidth="1"/>
    <col min="5127" max="5127" width="12.77734375" style="31" customWidth="1"/>
    <col min="5128" max="5128" width="12.6640625" style="31" customWidth="1"/>
    <col min="5129" max="5129" width="13" style="31" customWidth="1"/>
    <col min="5130" max="5132" width="11.44140625" style="31"/>
    <col min="5133" max="5133" width="13.77734375" style="31" customWidth="1"/>
    <col min="5134" max="5134" width="11.44140625" style="31"/>
    <col min="5135" max="5135" width="12.77734375" style="31" customWidth="1"/>
    <col min="5136" max="5378" width="11.44140625" style="31"/>
    <col min="5379" max="5379" width="17.77734375" style="31" customWidth="1"/>
    <col min="5380" max="5380" width="16.44140625" style="31" customWidth="1"/>
    <col min="5381" max="5381" width="18.33203125" style="31" customWidth="1"/>
    <col min="5382" max="5382" width="16.109375" style="31" customWidth="1"/>
    <col min="5383" max="5383" width="12.77734375" style="31" customWidth="1"/>
    <col min="5384" max="5384" width="12.6640625" style="31" customWidth="1"/>
    <col min="5385" max="5385" width="13" style="31" customWidth="1"/>
    <col min="5386" max="5388" width="11.44140625" style="31"/>
    <col min="5389" max="5389" width="13.77734375" style="31" customWidth="1"/>
    <col min="5390" max="5390" width="11.44140625" style="31"/>
    <col min="5391" max="5391" width="12.77734375" style="31" customWidth="1"/>
    <col min="5392" max="5634" width="11.44140625" style="31"/>
    <col min="5635" max="5635" width="17.77734375" style="31" customWidth="1"/>
    <col min="5636" max="5636" width="16.44140625" style="31" customWidth="1"/>
    <col min="5637" max="5637" width="18.33203125" style="31" customWidth="1"/>
    <col min="5638" max="5638" width="16.109375" style="31" customWidth="1"/>
    <col min="5639" max="5639" width="12.77734375" style="31" customWidth="1"/>
    <col min="5640" max="5640" width="12.6640625" style="31" customWidth="1"/>
    <col min="5641" max="5641" width="13" style="31" customWidth="1"/>
    <col min="5642" max="5644" width="11.44140625" style="31"/>
    <col min="5645" max="5645" width="13.77734375" style="31" customWidth="1"/>
    <col min="5646" max="5646" width="11.44140625" style="31"/>
    <col min="5647" max="5647" width="12.77734375" style="31" customWidth="1"/>
    <col min="5648" max="5890" width="11.44140625" style="31"/>
    <col min="5891" max="5891" width="17.77734375" style="31" customWidth="1"/>
    <col min="5892" max="5892" width="16.44140625" style="31" customWidth="1"/>
    <col min="5893" max="5893" width="18.33203125" style="31" customWidth="1"/>
    <col min="5894" max="5894" width="16.109375" style="31" customWidth="1"/>
    <col min="5895" max="5895" width="12.77734375" style="31" customWidth="1"/>
    <col min="5896" max="5896" width="12.6640625" style="31" customWidth="1"/>
    <col min="5897" max="5897" width="13" style="31" customWidth="1"/>
    <col min="5898" max="5900" width="11.44140625" style="31"/>
    <col min="5901" max="5901" width="13.77734375" style="31" customWidth="1"/>
    <col min="5902" max="5902" width="11.44140625" style="31"/>
    <col min="5903" max="5903" width="12.77734375" style="31" customWidth="1"/>
    <col min="5904" max="6146" width="11.44140625" style="31"/>
    <col min="6147" max="6147" width="17.77734375" style="31" customWidth="1"/>
    <col min="6148" max="6148" width="16.44140625" style="31" customWidth="1"/>
    <col min="6149" max="6149" width="18.33203125" style="31" customWidth="1"/>
    <col min="6150" max="6150" width="16.109375" style="31" customWidth="1"/>
    <col min="6151" max="6151" width="12.77734375" style="31" customWidth="1"/>
    <col min="6152" max="6152" width="12.6640625" style="31" customWidth="1"/>
    <col min="6153" max="6153" width="13" style="31" customWidth="1"/>
    <col min="6154" max="6156" width="11.44140625" style="31"/>
    <col min="6157" max="6157" width="13.77734375" style="31" customWidth="1"/>
    <col min="6158" max="6158" width="11.44140625" style="31"/>
    <col min="6159" max="6159" width="12.77734375" style="31" customWidth="1"/>
    <col min="6160" max="6402" width="11.44140625" style="31"/>
    <col min="6403" max="6403" width="17.77734375" style="31" customWidth="1"/>
    <col min="6404" max="6404" width="16.44140625" style="31" customWidth="1"/>
    <col min="6405" max="6405" width="18.33203125" style="31" customWidth="1"/>
    <col min="6406" max="6406" width="16.109375" style="31" customWidth="1"/>
    <col min="6407" max="6407" width="12.77734375" style="31" customWidth="1"/>
    <col min="6408" max="6408" width="12.6640625" style="31" customWidth="1"/>
    <col min="6409" max="6409" width="13" style="31" customWidth="1"/>
    <col min="6410" max="6412" width="11.44140625" style="31"/>
    <col min="6413" max="6413" width="13.77734375" style="31" customWidth="1"/>
    <col min="6414" max="6414" width="11.44140625" style="31"/>
    <col min="6415" max="6415" width="12.77734375" style="31" customWidth="1"/>
    <col min="6416" max="6658" width="11.44140625" style="31"/>
    <col min="6659" max="6659" width="17.77734375" style="31" customWidth="1"/>
    <col min="6660" max="6660" width="16.44140625" style="31" customWidth="1"/>
    <col min="6661" max="6661" width="18.33203125" style="31" customWidth="1"/>
    <col min="6662" max="6662" width="16.109375" style="31" customWidth="1"/>
    <col min="6663" max="6663" width="12.77734375" style="31" customWidth="1"/>
    <col min="6664" max="6664" width="12.6640625" style="31" customWidth="1"/>
    <col min="6665" max="6665" width="13" style="31" customWidth="1"/>
    <col min="6666" max="6668" width="11.44140625" style="31"/>
    <col min="6669" max="6669" width="13.77734375" style="31" customWidth="1"/>
    <col min="6670" max="6670" width="11.44140625" style="31"/>
    <col min="6671" max="6671" width="12.77734375" style="31" customWidth="1"/>
    <col min="6672" max="6914" width="11.44140625" style="31"/>
    <col min="6915" max="6915" width="17.77734375" style="31" customWidth="1"/>
    <col min="6916" max="6916" width="16.44140625" style="31" customWidth="1"/>
    <col min="6917" max="6917" width="18.33203125" style="31" customWidth="1"/>
    <col min="6918" max="6918" width="16.109375" style="31" customWidth="1"/>
    <col min="6919" max="6919" width="12.77734375" style="31" customWidth="1"/>
    <col min="6920" max="6920" width="12.6640625" style="31" customWidth="1"/>
    <col min="6921" max="6921" width="13" style="31" customWidth="1"/>
    <col min="6922" max="6924" width="11.44140625" style="31"/>
    <col min="6925" max="6925" width="13.77734375" style="31" customWidth="1"/>
    <col min="6926" max="6926" width="11.44140625" style="31"/>
    <col min="6927" max="6927" width="12.77734375" style="31" customWidth="1"/>
    <col min="6928" max="7170" width="11.44140625" style="31"/>
    <col min="7171" max="7171" width="17.77734375" style="31" customWidth="1"/>
    <col min="7172" max="7172" width="16.44140625" style="31" customWidth="1"/>
    <col min="7173" max="7173" width="18.33203125" style="31" customWidth="1"/>
    <col min="7174" max="7174" width="16.109375" style="31" customWidth="1"/>
    <col min="7175" max="7175" width="12.77734375" style="31" customWidth="1"/>
    <col min="7176" max="7176" width="12.6640625" style="31" customWidth="1"/>
    <col min="7177" max="7177" width="13" style="31" customWidth="1"/>
    <col min="7178" max="7180" width="11.44140625" style="31"/>
    <col min="7181" max="7181" width="13.77734375" style="31" customWidth="1"/>
    <col min="7182" max="7182" width="11.44140625" style="31"/>
    <col min="7183" max="7183" width="12.77734375" style="31" customWidth="1"/>
    <col min="7184" max="7426" width="11.44140625" style="31"/>
    <col min="7427" max="7427" width="17.77734375" style="31" customWidth="1"/>
    <col min="7428" max="7428" width="16.44140625" style="31" customWidth="1"/>
    <col min="7429" max="7429" width="18.33203125" style="31" customWidth="1"/>
    <col min="7430" max="7430" width="16.109375" style="31" customWidth="1"/>
    <col min="7431" max="7431" width="12.77734375" style="31" customWidth="1"/>
    <col min="7432" max="7432" width="12.6640625" style="31" customWidth="1"/>
    <col min="7433" max="7433" width="13" style="31" customWidth="1"/>
    <col min="7434" max="7436" width="11.44140625" style="31"/>
    <col min="7437" max="7437" width="13.77734375" style="31" customWidth="1"/>
    <col min="7438" max="7438" width="11.44140625" style="31"/>
    <col min="7439" max="7439" width="12.77734375" style="31" customWidth="1"/>
    <col min="7440" max="7682" width="11.44140625" style="31"/>
    <col min="7683" max="7683" width="17.77734375" style="31" customWidth="1"/>
    <col min="7684" max="7684" width="16.44140625" style="31" customWidth="1"/>
    <col min="7685" max="7685" width="18.33203125" style="31" customWidth="1"/>
    <col min="7686" max="7686" width="16.109375" style="31" customWidth="1"/>
    <col min="7687" max="7687" width="12.77734375" style="31" customWidth="1"/>
    <col min="7688" max="7688" width="12.6640625" style="31" customWidth="1"/>
    <col min="7689" max="7689" width="13" style="31" customWidth="1"/>
    <col min="7690" max="7692" width="11.44140625" style="31"/>
    <col min="7693" max="7693" width="13.77734375" style="31" customWidth="1"/>
    <col min="7694" max="7694" width="11.44140625" style="31"/>
    <col min="7695" max="7695" width="12.77734375" style="31" customWidth="1"/>
    <col min="7696" max="7938" width="11.44140625" style="31"/>
    <col min="7939" max="7939" width="17.77734375" style="31" customWidth="1"/>
    <col min="7940" max="7940" width="16.44140625" style="31" customWidth="1"/>
    <col min="7941" max="7941" width="18.33203125" style="31" customWidth="1"/>
    <col min="7942" max="7942" width="16.109375" style="31" customWidth="1"/>
    <col min="7943" max="7943" width="12.77734375" style="31" customWidth="1"/>
    <col min="7944" max="7944" width="12.6640625" style="31" customWidth="1"/>
    <col min="7945" max="7945" width="13" style="31" customWidth="1"/>
    <col min="7946" max="7948" width="11.44140625" style="31"/>
    <col min="7949" max="7949" width="13.77734375" style="31" customWidth="1"/>
    <col min="7950" max="7950" width="11.44140625" style="31"/>
    <col min="7951" max="7951" width="12.77734375" style="31" customWidth="1"/>
    <col min="7952" max="8194" width="11.44140625" style="31"/>
    <col min="8195" max="8195" width="17.77734375" style="31" customWidth="1"/>
    <col min="8196" max="8196" width="16.44140625" style="31" customWidth="1"/>
    <col min="8197" max="8197" width="18.33203125" style="31" customWidth="1"/>
    <col min="8198" max="8198" width="16.109375" style="31" customWidth="1"/>
    <col min="8199" max="8199" width="12.77734375" style="31" customWidth="1"/>
    <col min="8200" max="8200" width="12.6640625" style="31" customWidth="1"/>
    <col min="8201" max="8201" width="13" style="31" customWidth="1"/>
    <col min="8202" max="8204" width="11.44140625" style="31"/>
    <col min="8205" max="8205" width="13.77734375" style="31" customWidth="1"/>
    <col min="8206" max="8206" width="11.44140625" style="31"/>
    <col min="8207" max="8207" width="12.77734375" style="31" customWidth="1"/>
    <col min="8208" max="8450" width="11.44140625" style="31"/>
    <col min="8451" max="8451" width="17.77734375" style="31" customWidth="1"/>
    <col min="8452" max="8452" width="16.44140625" style="31" customWidth="1"/>
    <col min="8453" max="8453" width="18.33203125" style="31" customWidth="1"/>
    <col min="8454" max="8454" width="16.109375" style="31" customWidth="1"/>
    <col min="8455" max="8455" width="12.77734375" style="31" customWidth="1"/>
    <col min="8456" max="8456" width="12.6640625" style="31" customWidth="1"/>
    <col min="8457" max="8457" width="13" style="31" customWidth="1"/>
    <col min="8458" max="8460" width="11.44140625" style="31"/>
    <col min="8461" max="8461" width="13.77734375" style="31" customWidth="1"/>
    <col min="8462" max="8462" width="11.44140625" style="31"/>
    <col min="8463" max="8463" width="12.77734375" style="31" customWidth="1"/>
    <col min="8464" max="8706" width="11.44140625" style="31"/>
    <col min="8707" max="8707" width="17.77734375" style="31" customWidth="1"/>
    <col min="8708" max="8708" width="16.44140625" style="31" customWidth="1"/>
    <col min="8709" max="8709" width="18.33203125" style="31" customWidth="1"/>
    <col min="8710" max="8710" width="16.109375" style="31" customWidth="1"/>
    <col min="8711" max="8711" width="12.77734375" style="31" customWidth="1"/>
    <col min="8712" max="8712" width="12.6640625" style="31" customWidth="1"/>
    <col min="8713" max="8713" width="13" style="31" customWidth="1"/>
    <col min="8714" max="8716" width="11.44140625" style="31"/>
    <col min="8717" max="8717" width="13.77734375" style="31" customWidth="1"/>
    <col min="8718" max="8718" width="11.44140625" style="31"/>
    <col min="8719" max="8719" width="12.77734375" style="31" customWidth="1"/>
    <col min="8720" max="8962" width="11.44140625" style="31"/>
    <col min="8963" max="8963" width="17.77734375" style="31" customWidth="1"/>
    <col min="8964" max="8964" width="16.44140625" style="31" customWidth="1"/>
    <col min="8965" max="8965" width="18.33203125" style="31" customWidth="1"/>
    <col min="8966" max="8966" width="16.109375" style="31" customWidth="1"/>
    <col min="8967" max="8967" width="12.77734375" style="31" customWidth="1"/>
    <col min="8968" max="8968" width="12.6640625" style="31" customWidth="1"/>
    <col min="8969" max="8969" width="13" style="31" customWidth="1"/>
    <col min="8970" max="8972" width="11.44140625" style="31"/>
    <col min="8973" max="8973" width="13.77734375" style="31" customWidth="1"/>
    <col min="8974" max="8974" width="11.44140625" style="31"/>
    <col min="8975" max="8975" width="12.77734375" style="31" customWidth="1"/>
    <col min="8976" max="9218" width="11.44140625" style="31"/>
    <col min="9219" max="9219" width="17.77734375" style="31" customWidth="1"/>
    <col min="9220" max="9220" width="16.44140625" style="31" customWidth="1"/>
    <col min="9221" max="9221" width="18.33203125" style="31" customWidth="1"/>
    <col min="9222" max="9222" width="16.109375" style="31" customWidth="1"/>
    <col min="9223" max="9223" width="12.77734375" style="31" customWidth="1"/>
    <col min="9224" max="9224" width="12.6640625" style="31" customWidth="1"/>
    <col min="9225" max="9225" width="13" style="31" customWidth="1"/>
    <col min="9226" max="9228" width="11.44140625" style="31"/>
    <col min="9229" max="9229" width="13.77734375" style="31" customWidth="1"/>
    <col min="9230" max="9230" width="11.44140625" style="31"/>
    <col min="9231" max="9231" width="12.77734375" style="31" customWidth="1"/>
    <col min="9232" max="9474" width="11.44140625" style="31"/>
    <col min="9475" max="9475" width="17.77734375" style="31" customWidth="1"/>
    <col min="9476" max="9476" width="16.44140625" style="31" customWidth="1"/>
    <col min="9477" max="9477" width="18.33203125" style="31" customWidth="1"/>
    <col min="9478" max="9478" width="16.109375" style="31" customWidth="1"/>
    <col min="9479" max="9479" width="12.77734375" style="31" customWidth="1"/>
    <col min="9480" max="9480" width="12.6640625" style="31" customWidth="1"/>
    <col min="9481" max="9481" width="13" style="31" customWidth="1"/>
    <col min="9482" max="9484" width="11.44140625" style="31"/>
    <col min="9485" max="9485" width="13.77734375" style="31" customWidth="1"/>
    <col min="9486" max="9486" width="11.44140625" style="31"/>
    <col min="9487" max="9487" width="12.77734375" style="31" customWidth="1"/>
    <col min="9488" max="9730" width="11.44140625" style="31"/>
    <col min="9731" max="9731" width="17.77734375" style="31" customWidth="1"/>
    <col min="9732" max="9732" width="16.44140625" style="31" customWidth="1"/>
    <col min="9733" max="9733" width="18.33203125" style="31" customWidth="1"/>
    <col min="9734" max="9734" width="16.109375" style="31" customWidth="1"/>
    <col min="9735" max="9735" width="12.77734375" style="31" customWidth="1"/>
    <col min="9736" max="9736" width="12.6640625" style="31" customWidth="1"/>
    <col min="9737" max="9737" width="13" style="31" customWidth="1"/>
    <col min="9738" max="9740" width="11.44140625" style="31"/>
    <col min="9741" max="9741" width="13.77734375" style="31" customWidth="1"/>
    <col min="9742" max="9742" width="11.44140625" style="31"/>
    <col min="9743" max="9743" width="12.77734375" style="31" customWidth="1"/>
    <col min="9744" max="9986" width="11.44140625" style="31"/>
    <col min="9987" max="9987" width="17.77734375" style="31" customWidth="1"/>
    <col min="9988" max="9988" width="16.44140625" style="31" customWidth="1"/>
    <col min="9989" max="9989" width="18.33203125" style="31" customWidth="1"/>
    <col min="9990" max="9990" width="16.109375" style="31" customWidth="1"/>
    <col min="9991" max="9991" width="12.77734375" style="31" customWidth="1"/>
    <col min="9992" max="9992" width="12.6640625" style="31" customWidth="1"/>
    <col min="9993" max="9993" width="13" style="31" customWidth="1"/>
    <col min="9994" max="9996" width="11.44140625" style="31"/>
    <col min="9997" max="9997" width="13.77734375" style="31" customWidth="1"/>
    <col min="9998" max="9998" width="11.44140625" style="31"/>
    <col min="9999" max="9999" width="12.77734375" style="31" customWidth="1"/>
    <col min="10000" max="10242" width="11.44140625" style="31"/>
    <col min="10243" max="10243" width="17.77734375" style="31" customWidth="1"/>
    <col min="10244" max="10244" width="16.44140625" style="31" customWidth="1"/>
    <col min="10245" max="10245" width="18.33203125" style="31" customWidth="1"/>
    <col min="10246" max="10246" width="16.109375" style="31" customWidth="1"/>
    <col min="10247" max="10247" width="12.77734375" style="31" customWidth="1"/>
    <col min="10248" max="10248" width="12.6640625" style="31" customWidth="1"/>
    <col min="10249" max="10249" width="13" style="31" customWidth="1"/>
    <col min="10250" max="10252" width="11.44140625" style="31"/>
    <col min="10253" max="10253" width="13.77734375" style="31" customWidth="1"/>
    <col min="10254" max="10254" width="11.44140625" style="31"/>
    <col min="10255" max="10255" width="12.77734375" style="31" customWidth="1"/>
    <col min="10256" max="10498" width="11.44140625" style="31"/>
    <col min="10499" max="10499" width="17.77734375" style="31" customWidth="1"/>
    <col min="10500" max="10500" width="16.44140625" style="31" customWidth="1"/>
    <col min="10501" max="10501" width="18.33203125" style="31" customWidth="1"/>
    <col min="10502" max="10502" width="16.109375" style="31" customWidth="1"/>
    <col min="10503" max="10503" width="12.77734375" style="31" customWidth="1"/>
    <col min="10504" max="10504" width="12.6640625" style="31" customWidth="1"/>
    <col min="10505" max="10505" width="13" style="31" customWidth="1"/>
    <col min="10506" max="10508" width="11.44140625" style="31"/>
    <col min="10509" max="10509" width="13.77734375" style="31" customWidth="1"/>
    <col min="10510" max="10510" width="11.44140625" style="31"/>
    <col min="10511" max="10511" width="12.77734375" style="31" customWidth="1"/>
    <col min="10512" max="10754" width="11.44140625" style="31"/>
    <col min="10755" max="10755" width="17.77734375" style="31" customWidth="1"/>
    <col min="10756" max="10756" width="16.44140625" style="31" customWidth="1"/>
    <col min="10757" max="10757" width="18.33203125" style="31" customWidth="1"/>
    <col min="10758" max="10758" width="16.109375" style="31" customWidth="1"/>
    <col min="10759" max="10759" width="12.77734375" style="31" customWidth="1"/>
    <col min="10760" max="10760" width="12.6640625" style="31" customWidth="1"/>
    <col min="10761" max="10761" width="13" style="31" customWidth="1"/>
    <col min="10762" max="10764" width="11.44140625" style="31"/>
    <col min="10765" max="10765" width="13.77734375" style="31" customWidth="1"/>
    <col min="10766" max="10766" width="11.44140625" style="31"/>
    <col min="10767" max="10767" width="12.77734375" style="31" customWidth="1"/>
    <col min="10768" max="11010" width="11.44140625" style="31"/>
    <col min="11011" max="11011" width="17.77734375" style="31" customWidth="1"/>
    <col min="11012" max="11012" width="16.44140625" style="31" customWidth="1"/>
    <col min="11013" max="11013" width="18.33203125" style="31" customWidth="1"/>
    <col min="11014" max="11014" width="16.109375" style="31" customWidth="1"/>
    <col min="11015" max="11015" width="12.77734375" style="31" customWidth="1"/>
    <col min="11016" max="11016" width="12.6640625" style="31" customWidth="1"/>
    <col min="11017" max="11017" width="13" style="31" customWidth="1"/>
    <col min="11018" max="11020" width="11.44140625" style="31"/>
    <col min="11021" max="11021" width="13.77734375" style="31" customWidth="1"/>
    <col min="11022" max="11022" width="11.44140625" style="31"/>
    <col min="11023" max="11023" width="12.77734375" style="31" customWidth="1"/>
    <col min="11024" max="11266" width="11.44140625" style="31"/>
    <col min="11267" max="11267" width="17.77734375" style="31" customWidth="1"/>
    <col min="11268" max="11268" width="16.44140625" style="31" customWidth="1"/>
    <col min="11269" max="11269" width="18.33203125" style="31" customWidth="1"/>
    <col min="11270" max="11270" width="16.109375" style="31" customWidth="1"/>
    <col min="11271" max="11271" width="12.77734375" style="31" customWidth="1"/>
    <col min="11272" max="11272" width="12.6640625" style="31" customWidth="1"/>
    <col min="11273" max="11273" width="13" style="31" customWidth="1"/>
    <col min="11274" max="11276" width="11.44140625" style="31"/>
    <col min="11277" max="11277" width="13.77734375" style="31" customWidth="1"/>
    <col min="11278" max="11278" width="11.44140625" style="31"/>
    <col min="11279" max="11279" width="12.77734375" style="31" customWidth="1"/>
    <col min="11280" max="11522" width="11.44140625" style="31"/>
    <col min="11523" max="11523" width="17.77734375" style="31" customWidth="1"/>
    <col min="11524" max="11524" width="16.44140625" style="31" customWidth="1"/>
    <col min="11525" max="11525" width="18.33203125" style="31" customWidth="1"/>
    <col min="11526" max="11526" width="16.109375" style="31" customWidth="1"/>
    <col min="11527" max="11527" width="12.77734375" style="31" customWidth="1"/>
    <col min="11528" max="11528" width="12.6640625" style="31" customWidth="1"/>
    <col min="11529" max="11529" width="13" style="31" customWidth="1"/>
    <col min="11530" max="11532" width="11.44140625" style="31"/>
    <col min="11533" max="11533" width="13.77734375" style="31" customWidth="1"/>
    <col min="11534" max="11534" width="11.44140625" style="31"/>
    <col min="11535" max="11535" width="12.77734375" style="31" customWidth="1"/>
    <col min="11536" max="11778" width="11.44140625" style="31"/>
    <col min="11779" max="11779" width="17.77734375" style="31" customWidth="1"/>
    <col min="11780" max="11780" width="16.44140625" style="31" customWidth="1"/>
    <col min="11781" max="11781" width="18.33203125" style="31" customWidth="1"/>
    <col min="11782" max="11782" width="16.109375" style="31" customWidth="1"/>
    <col min="11783" max="11783" width="12.77734375" style="31" customWidth="1"/>
    <col min="11784" max="11784" width="12.6640625" style="31" customWidth="1"/>
    <col min="11785" max="11785" width="13" style="31" customWidth="1"/>
    <col min="11786" max="11788" width="11.44140625" style="31"/>
    <col min="11789" max="11789" width="13.77734375" style="31" customWidth="1"/>
    <col min="11790" max="11790" width="11.44140625" style="31"/>
    <col min="11791" max="11791" width="12.77734375" style="31" customWidth="1"/>
    <col min="11792" max="12034" width="11.44140625" style="31"/>
    <col min="12035" max="12035" width="17.77734375" style="31" customWidth="1"/>
    <col min="12036" max="12036" width="16.44140625" style="31" customWidth="1"/>
    <col min="12037" max="12037" width="18.33203125" style="31" customWidth="1"/>
    <col min="12038" max="12038" width="16.109375" style="31" customWidth="1"/>
    <col min="12039" max="12039" width="12.77734375" style="31" customWidth="1"/>
    <col min="12040" max="12040" width="12.6640625" style="31" customWidth="1"/>
    <col min="12041" max="12041" width="13" style="31" customWidth="1"/>
    <col min="12042" max="12044" width="11.44140625" style="31"/>
    <col min="12045" max="12045" width="13.77734375" style="31" customWidth="1"/>
    <col min="12046" max="12046" width="11.44140625" style="31"/>
    <col min="12047" max="12047" width="12.77734375" style="31" customWidth="1"/>
    <col min="12048" max="12290" width="11.44140625" style="31"/>
    <col min="12291" max="12291" width="17.77734375" style="31" customWidth="1"/>
    <col min="12292" max="12292" width="16.44140625" style="31" customWidth="1"/>
    <col min="12293" max="12293" width="18.33203125" style="31" customWidth="1"/>
    <col min="12294" max="12294" width="16.109375" style="31" customWidth="1"/>
    <col min="12295" max="12295" width="12.77734375" style="31" customWidth="1"/>
    <col min="12296" max="12296" width="12.6640625" style="31" customWidth="1"/>
    <col min="12297" max="12297" width="13" style="31" customWidth="1"/>
    <col min="12298" max="12300" width="11.44140625" style="31"/>
    <col min="12301" max="12301" width="13.77734375" style="31" customWidth="1"/>
    <col min="12302" max="12302" width="11.44140625" style="31"/>
    <col min="12303" max="12303" width="12.77734375" style="31" customWidth="1"/>
    <col min="12304" max="12546" width="11.44140625" style="31"/>
    <col min="12547" max="12547" width="17.77734375" style="31" customWidth="1"/>
    <col min="12548" max="12548" width="16.44140625" style="31" customWidth="1"/>
    <col min="12549" max="12549" width="18.33203125" style="31" customWidth="1"/>
    <col min="12550" max="12550" width="16.109375" style="31" customWidth="1"/>
    <col min="12551" max="12551" width="12.77734375" style="31" customWidth="1"/>
    <col min="12552" max="12552" width="12.6640625" style="31" customWidth="1"/>
    <col min="12553" max="12553" width="13" style="31" customWidth="1"/>
    <col min="12554" max="12556" width="11.44140625" style="31"/>
    <col min="12557" max="12557" width="13.77734375" style="31" customWidth="1"/>
    <col min="12558" max="12558" width="11.44140625" style="31"/>
    <col min="12559" max="12559" width="12.77734375" style="31" customWidth="1"/>
    <col min="12560" max="12802" width="11.44140625" style="31"/>
    <col min="12803" max="12803" width="17.77734375" style="31" customWidth="1"/>
    <col min="12804" max="12804" width="16.44140625" style="31" customWidth="1"/>
    <col min="12805" max="12805" width="18.33203125" style="31" customWidth="1"/>
    <col min="12806" max="12806" width="16.109375" style="31" customWidth="1"/>
    <col min="12807" max="12807" width="12.77734375" style="31" customWidth="1"/>
    <col min="12808" max="12808" width="12.6640625" style="31" customWidth="1"/>
    <col min="12809" max="12809" width="13" style="31" customWidth="1"/>
    <col min="12810" max="12812" width="11.44140625" style="31"/>
    <col min="12813" max="12813" width="13.77734375" style="31" customWidth="1"/>
    <col min="12814" max="12814" width="11.44140625" style="31"/>
    <col min="12815" max="12815" width="12.77734375" style="31" customWidth="1"/>
    <col min="12816" max="13058" width="11.44140625" style="31"/>
    <col min="13059" max="13059" width="17.77734375" style="31" customWidth="1"/>
    <col min="13060" max="13060" width="16.44140625" style="31" customWidth="1"/>
    <col min="13061" max="13061" width="18.33203125" style="31" customWidth="1"/>
    <col min="13062" max="13062" width="16.109375" style="31" customWidth="1"/>
    <col min="13063" max="13063" width="12.77734375" style="31" customWidth="1"/>
    <col min="13064" max="13064" width="12.6640625" style="31" customWidth="1"/>
    <col min="13065" max="13065" width="13" style="31" customWidth="1"/>
    <col min="13066" max="13068" width="11.44140625" style="31"/>
    <col min="13069" max="13069" width="13.77734375" style="31" customWidth="1"/>
    <col min="13070" max="13070" width="11.44140625" style="31"/>
    <col min="13071" max="13071" width="12.77734375" style="31" customWidth="1"/>
    <col min="13072" max="13314" width="11.44140625" style="31"/>
    <col min="13315" max="13315" width="17.77734375" style="31" customWidth="1"/>
    <col min="13316" max="13316" width="16.44140625" style="31" customWidth="1"/>
    <col min="13317" max="13317" width="18.33203125" style="31" customWidth="1"/>
    <col min="13318" max="13318" width="16.109375" style="31" customWidth="1"/>
    <col min="13319" max="13319" width="12.77734375" style="31" customWidth="1"/>
    <col min="13320" max="13320" width="12.6640625" style="31" customWidth="1"/>
    <col min="13321" max="13321" width="13" style="31" customWidth="1"/>
    <col min="13322" max="13324" width="11.44140625" style="31"/>
    <col min="13325" max="13325" width="13.77734375" style="31" customWidth="1"/>
    <col min="13326" max="13326" width="11.44140625" style="31"/>
    <col min="13327" max="13327" width="12.77734375" style="31" customWidth="1"/>
    <col min="13328" max="13570" width="11.44140625" style="31"/>
    <col min="13571" max="13571" width="17.77734375" style="31" customWidth="1"/>
    <col min="13572" max="13572" width="16.44140625" style="31" customWidth="1"/>
    <col min="13573" max="13573" width="18.33203125" style="31" customWidth="1"/>
    <col min="13574" max="13574" width="16.109375" style="31" customWidth="1"/>
    <col min="13575" max="13575" width="12.77734375" style="31" customWidth="1"/>
    <col min="13576" max="13576" width="12.6640625" style="31" customWidth="1"/>
    <col min="13577" max="13577" width="13" style="31" customWidth="1"/>
    <col min="13578" max="13580" width="11.44140625" style="31"/>
    <col min="13581" max="13581" width="13.77734375" style="31" customWidth="1"/>
    <col min="13582" max="13582" width="11.44140625" style="31"/>
    <col min="13583" max="13583" width="12.77734375" style="31" customWidth="1"/>
    <col min="13584" max="13826" width="11.44140625" style="31"/>
    <col min="13827" max="13827" width="17.77734375" style="31" customWidth="1"/>
    <col min="13828" max="13828" width="16.44140625" style="31" customWidth="1"/>
    <col min="13829" max="13829" width="18.33203125" style="31" customWidth="1"/>
    <col min="13830" max="13830" width="16.109375" style="31" customWidth="1"/>
    <col min="13831" max="13831" width="12.77734375" style="31" customWidth="1"/>
    <col min="13832" max="13832" width="12.6640625" style="31" customWidth="1"/>
    <col min="13833" max="13833" width="13" style="31" customWidth="1"/>
    <col min="13834" max="13836" width="11.44140625" style="31"/>
    <col min="13837" max="13837" width="13.77734375" style="31" customWidth="1"/>
    <col min="13838" max="13838" width="11.44140625" style="31"/>
    <col min="13839" max="13839" width="12.77734375" style="31" customWidth="1"/>
    <col min="13840" max="14082" width="11.44140625" style="31"/>
    <col min="14083" max="14083" width="17.77734375" style="31" customWidth="1"/>
    <col min="14084" max="14084" width="16.44140625" style="31" customWidth="1"/>
    <col min="14085" max="14085" width="18.33203125" style="31" customWidth="1"/>
    <col min="14086" max="14086" width="16.109375" style="31" customWidth="1"/>
    <col min="14087" max="14087" width="12.77734375" style="31" customWidth="1"/>
    <col min="14088" max="14088" width="12.6640625" style="31" customWidth="1"/>
    <col min="14089" max="14089" width="13" style="31" customWidth="1"/>
    <col min="14090" max="14092" width="11.44140625" style="31"/>
    <col min="14093" max="14093" width="13.77734375" style="31" customWidth="1"/>
    <col min="14094" max="14094" width="11.44140625" style="31"/>
    <col min="14095" max="14095" width="12.77734375" style="31" customWidth="1"/>
    <col min="14096" max="14338" width="11.44140625" style="31"/>
    <col min="14339" max="14339" width="17.77734375" style="31" customWidth="1"/>
    <col min="14340" max="14340" width="16.44140625" style="31" customWidth="1"/>
    <col min="14341" max="14341" width="18.33203125" style="31" customWidth="1"/>
    <col min="14342" max="14342" width="16.109375" style="31" customWidth="1"/>
    <col min="14343" max="14343" width="12.77734375" style="31" customWidth="1"/>
    <col min="14344" max="14344" width="12.6640625" style="31" customWidth="1"/>
    <col min="14345" max="14345" width="13" style="31" customWidth="1"/>
    <col min="14346" max="14348" width="11.44140625" style="31"/>
    <col min="14349" max="14349" width="13.77734375" style="31" customWidth="1"/>
    <col min="14350" max="14350" width="11.44140625" style="31"/>
    <col min="14351" max="14351" width="12.77734375" style="31" customWidth="1"/>
    <col min="14352" max="14594" width="11.44140625" style="31"/>
    <col min="14595" max="14595" width="17.77734375" style="31" customWidth="1"/>
    <col min="14596" max="14596" width="16.44140625" style="31" customWidth="1"/>
    <col min="14597" max="14597" width="18.33203125" style="31" customWidth="1"/>
    <col min="14598" max="14598" width="16.109375" style="31" customWidth="1"/>
    <col min="14599" max="14599" width="12.77734375" style="31" customWidth="1"/>
    <col min="14600" max="14600" width="12.6640625" style="31" customWidth="1"/>
    <col min="14601" max="14601" width="13" style="31" customWidth="1"/>
    <col min="14602" max="14604" width="11.44140625" style="31"/>
    <col min="14605" max="14605" width="13.77734375" style="31" customWidth="1"/>
    <col min="14606" max="14606" width="11.44140625" style="31"/>
    <col min="14607" max="14607" width="12.77734375" style="31" customWidth="1"/>
    <col min="14608" max="14850" width="11.44140625" style="31"/>
    <col min="14851" max="14851" width="17.77734375" style="31" customWidth="1"/>
    <col min="14852" max="14852" width="16.44140625" style="31" customWidth="1"/>
    <col min="14853" max="14853" width="18.33203125" style="31" customWidth="1"/>
    <col min="14854" max="14854" width="16.109375" style="31" customWidth="1"/>
    <col min="14855" max="14855" width="12.77734375" style="31" customWidth="1"/>
    <col min="14856" max="14856" width="12.6640625" style="31" customWidth="1"/>
    <col min="14857" max="14857" width="13" style="31" customWidth="1"/>
    <col min="14858" max="14860" width="11.44140625" style="31"/>
    <col min="14861" max="14861" width="13.77734375" style="31" customWidth="1"/>
    <col min="14862" max="14862" width="11.44140625" style="31"/>
    <col min="14863" max="14863" width="12.77734375" style="31" customWidth="1"/>
    <col min="14864" max="15106" width="11.44140625" style="31"/>
    <col min="15107" max="15107" width="17.77734375" style="31" customWidth="1"/>
    <col min="15108" max="15108" width="16.44140625" style="31" customWidth="1"/>
    <col min="15109" max="15109" width="18.33203125" style="31" customWidth="1"/>
    <col min="15110" max="15110" width="16.109375" style="31" customWidth="1"/>
    <col min="15111" max="15111" width="12.77734375" style="31" customWidth="1"/>
    <col min="15112" max="15112" width="12.6640625" style="31" customWidth="1"/>
    <col min="15113" max="15113" width="13" style="31" customWidth="1"/>
    <col min="15114" max="15116" width="11.44140625" style="31"/>
    <col min="15117" max="15117" width="13.77734375" style="31" customWidth="1"/>
    <col min="15118" max="15118" width="11.44140625" style="31"/>
    <col min="15119" max="15119" width="12.77734375" style="31" customWidth="1"/>
    <col min="15120" max="15362" width="11.44140625" style="31"/>
    <col min="15363" max="15363" width="17.77734375" style="31" customWidth="1"/>
    <col min="15364" max="15364" width="16.44140625" style="31" customWidth="1"/>
    <col min="15365" max="15365" width="18.33203125" style="31" customWidth="1"/>
    <col min="15366" max="15366" width="16.109375" style="31" customWidth="1"/>
    <col min="15367" max="15367" width="12.77734375" style="31" customWidth="1"/>
    <col min="15368" max="15368" width="12.6640625" style="31" customWidth="1"/>
    <col min="15369" max="15369" width="13" style="31" customWidth="1"/>
    <col min="15370" max="15372" width="11.44140625" style="31"/>
    <col min="15373" max="15373" width="13.77734375" style="31" customWidth="1"/>
    <col min="15374" max="15374" width="11.44140625" style="31"/>
    <col min="15375" max="15375" width="12.77734375" style="31" customWidth="1"/>
    <col min="15376" max="15618" width="11.44140625" style="31"/>
    <col min="15619" max="15619" width="17.77734375" style="31" customWidth="1"/>
    <col min="15620" max="15620" width="16.44140625" style="31" customWidth="1"/>
    <col min="15621" max="15621" width="18.33203125" style="31" customWidth="1"/>
    <col min="15622" max="15622" width="16.109375" style="31" customWidth="1"/>
    <col min="15623" max="15623" width="12.77734375" style="31" customWidth="1"/>
    <col min="15624" max="15624" width="12.6640625" style="31" customWidth="1"/>
    <col min="15625" max="15625" width="13" style="31" customWidth="1"/>
    <col min="15626" max="15628" width="11.44140625" style="31"/>
    <col min="15629" max="15629" width="13.77734375" style="31" customWidth="1"/>
    <col min="15630" max="15630" width="11.44140625" style="31"/>
    <col min="15631" max="15631" width="12.77734375" style="31" customWidth="1"/>
    <col min="15632" max="15874" width="11.44140625" style="31"/>
    <col min="15875" max="15875" width="17.77734375" style="31" customWidth="1"/>
    <col min="15876" max="15876" width="16.44140625" style="31" customWidth="1"/>
    <col min="15877" max="15877" width="18.33203125" style="31" customWidth="1"/>
    <col min="15878" max="15878" width="16.109375" style="31" customWidth="1"/>
    <col min="15879" max="15879" width="12.77734375" style="31" customWidth="1"/>
    <col min="15880" max="15880" width="12.6640625" style="31" customWidth="1"/>
    <col min="15881" max="15881" width="13" style="31" customWidth="1"/>
    <col min="15882" max="15884" width="11.44140625" style="31"/>
    <col min="15885" max="15885" width="13.77734375" style="31" customWidth="1"/>
    <col min="15886" max="15886" width="11.44140625" style="31"/>
    <col min="15887" max="15887" width="12.77734375" style="31" customWidth="1"/>
    <col min="15888" max="16130" width="11.44140625" style="31"/>
    <col min="16131" max="16131" width="17.77734375" style="31" customWidth="1"/>
    <col min="16132" max="16132" width="16.44140625" style="31" customWidth="1"/>
    <col min="16133" max="16133" width="18.33203125" style="31" customWidth="1"/>
    <col min="16134" max="16134" width="16.109375" style="31" customWidth="1"/>
    <col min="16135" max="16135" width="12.77734375" style="31" customWidth="1"/>
    <col min="16136" max="16136" width="12.6640625" style="31" customWidth="1"/>
    <col min="16137" max="16137" width="13" style="31" customWidth="1"/>
    <col min="16138" max="16140" width="11.44140625" style="31"/>
    <col min="16141" max="16141" width="13.77734375" style="31" customWidth="1"/>
    <col min="16142" max="16142" width="11.44140625" style="31"/>
    <col min="16143" max="16143" width="12.77734375" style="31" customWidth="1"/>
    <col min="16144" max="16384" width="11.44140625" style="31"/>
  </cols>
  <sheetData>
    <row r="1" spans="2:19" ht="54" customHeight="1">
      <c r="B1" s="676" t="s">
        <v>38</v>
      </c>
      <c r="C1" s="676"/>
      <c r="D1" s="676"/>
      <c r="E1" s="676"/>
      <c r="F1" s="676"/>
      <c r="G1" s="676"/>
      <c r="H1" s="676"/>
      <c r="I1" s="676"/>
      <c r="J1" s="676"/>
      <c r="N1" s="32"/>
      <c r="O1" s="32"/>
      <c r="P1" s="32"/>
      <c r="Q1" s="32"/>
      <c r="R1" s="32"/>
      <c r="S1" s="32"/>
    </row>
    <row r="3" spans="2:19" ht="39.75" customHeight="1">
      <c r="B3" s="677" t="s">
        <v>39</v>
      </c>
      <c r="C3" s="678"/>
      <c r="D3" s="678"/>
      <c r="E3" s="678"/>
      <c r="F3" s="679"/>
      <c r="G3" s="680" t="s">
        <v>40</v>
      </c>
      <c r="H3" s="680"/>
      <c r="I3" s="680"/>
      <c r="J3" s="680"/>
    </row>
    <row r="4" spans="2:19">
      <c r="E4" s="33"/>
    </row>
    <row r="5" spans="2:19">
      <c r="D5" s="114" t="s">
        <v>799</v>
      </c>
    </row>
    <row r="6" spans="2:19">
      <c r="J6" s="98"/>
      <c r="K6" s="98"/>
      <c r="L6" s="98"/>
      <c r="M6" s="98"/>
      <c r="N6" s="98"/>
      <c r="O6" s="98"/>
      <c r="P6" s="98"/>
      <c r="Q6" s="98"/>
      <c r="R6" s="98"/>
    </row>
    <row r="7" spans="2:19">
      <c r="J7" s="98"/>
      <c r="K7" s="98"/>
      <c r="L7" s="673" t="s">
        <v>41</v>
      </c>
      <c r="M7" s="674"/>
      <c r="N7" s="674"/>
      <c r="O7" s="674"/>
      <c r="P7" s="674"/>
      <c r="Q7" s="674"/>
      <c r="R7" s="675"/>
    </row>
    <row r="8" spans="2:19" ht="35.25" customHeight="1">
      <c r="J8" s="98"/>
      <c r="K8" s="98"/>
      <c r="L8" s="99" t="s">
        <v>9</v>
      </c>
      <c r="M8" s="99" t="s">
        <v>42</v>
      </c>
      <c r="N8" s="99" t="s">
        <v>10</v>
      </c>
      <c r="O8" s="99" t="s">
        <v>43</v>
      </c>
      <c r="P8" s="99" t="s">
        <v>44</v>
      </c>
      <c r="Q8" s="99" t="s">
        <v>45</v>
      </c>
      <c r="R8" s="99" t="s">
        <v>36</v>
      </c>
    </row>
    <row r="9" spans="2:19">
      <c r="J9" s="98"/>
      <c r="K9" s="100">
        <v>2009</v>
      </c>
      <c r="L9" s="101">
        <f>'Données Energie'!G316/1000</f>
        <v>17544</v>
      </c>
      <c r="M9" s="102">
        <f t="shared" ref="M9:M19" si="0">L9/R9</f>
        <v>0.30915000804958326</v>
      </c>
      <c r="N9" s="101">
        <f>'Données Energie'!G84/1000*2.58</f>
        <v>34489.824419999997</v>
      </c>
      <c r="O9" s="102">
        <f t="shared" ref="O9:O19" si="1">N9/R9</f>
        <v>0.60775931925853344</v>
      </c>
      <c r="P9" s="101">
        <f>'Données Energie'!G252/1000</f>
        <v>4715.3249999999998</v>
      </c>
      <c r="Q9" s="102">
        <f t="shared" ref="Q9:Q19" si="2">P9/R9</f>
        <v>8.3090672691883319E-2</v>
      </c>
      <c r="R9" s="101">
        <f t="shared" ref="R9:R19" si="3">N9+P9+L9</f>
        <v>56749.149419999994</v>
      </c>
    </row>
    <row r="10" spans="2:19">
      <c r="J10" s="98"/>
      <c r="K10" s="100">
        <v>2010</v>
      </c>
      <c r="L10" s="101">
        <f>'Données Energie'!H316/1000</f>
        <v>20084</v>
      </c>
      <c r="M10" s="102">
        <f t="shared" si="0"/>
        <v>0.33169938443375557</v>
      </c>
      <c r="N10" s="101">
        <f>'Données Energie'!H84/1000*2.58</f>
        <v>35460.662940000002</v>
      </c>
      <c r="O10" s="102">
        <f t="shared" si="1"/>
        <v>0.58565425556716233</v>
      </c>
      <c r="P10" s="101">
        <f>'Données Energie'!H252/1000</f>
        <v>5004.1379999999999</v>
      </c>
      <c r="Q10" s="102">
        <f t="shared" si="2"/>
        <v>8.2646359999082084E-2</v>
      </c>
      <c r="R10" s="101">
        <f t="shared" si="3"/>
        <v>60548.800940000001</v>
      </c>
    </row>
    <row r="11" spans="2:19">
      <c r="J11" s="98"/>
      <c r="K11" s="100">
        <v>2011</v>
      </c>
      <c r="L11" s="101">
        <f>'Données Energie'!I316/1000</f>
        <v>15176</v>
      </c>
      <c r="M11" s="102">
        <f t="shared" si="0"/>
        <v>0.28159676442259751</v>
      </c>
      <c r="N11" s="101">
        <f>'Données Energie'!I84/1000*2.58</f>
        <v>34379.134679999996</v>
      </c>
      <c r="O11" s="102">
        <f t="shared" si="1"/>
        <v>0.63791862740753236</v>
      </c>
      <c r="P11" s="101">
        <f>'Données Energie'!I252/1000</f>
        <v>4337.53</v>
      </c>
      <c r="Q11" s="102">
        <f t="shared" si="2"/>
        <v>8.0484608169870145E-2</v>
      </c>
      <c r="R11" s="101">
        <f t="shared" si="3"/>
        <v>53892.664679999994</v>
      </c>
    </row>
    <row r="12" spans="2:19">
      <c r="J12" s="98"/>
      <c r="K12" s="100">
        <v>2012</v>
      </c>
      <c r="L12" s="101">
        <f>'Données Energie'!J316/1000</f>
        <v>17090</v>
      </c>
      <c r="M12" s="102">
        <f t="shared" si="0"/>
        <v>0.32330704828112899</v>
      </c>
      <c r="N12" s="101">
        <f>'Données Energie'!J84/1000*2.58</f>
        <v>31084.059299999997</v>
      </c>
      <c r="O12" s="102">
        <f t="shared" si="1"/>
        <v>0.58804537512455102</v>
      </c>
      <c r="P12" s="101">
        <f>'Données Energie'!J252/1000</f>
        <v>4685.9080000000004</v>
      </c>
      <c r="Q12" s="102">
        <f t="shared" si="2"/>
        <v>8.8647576594320002E-2</v>
      </c>
      <c r="R12" s="101">
        <f t="shared" si="3"/>
        <v>52859.967299999997</v>
      </c>
    </row>
    <row r="13" spans="2:19">
      <c r="J13" s="98"/>
      <c r="K13" s="100">
        <v>2013</v>
      </c>
      <c r="L13" s="101">
        <f>'Données Energie'!K316/1000</f>
        <v>19367</v>
      </c>
      <c r="M13" s="102">
        <f t="shared" si="0"/>
        <v>0.34619415004954168</v>
      </c>
      <c r="N13" s="101">
        <f>'Données Energie'!K84/1000*2.58</f>
        <v>31496.49552</v>
      </c>
      <c r="O13" s="102">
        <f t="shared" si="1"/>
        <v>0.56301453483170327</v>
      </c>
      <c r="P13" s="101">
        <f>'Données Energie'!K252/1000</f>
        <v>5079.1019999999999</v>
      </c>
      <c r="Q13" s="102">
        <f t="shared" si="2"/>
        <v>9.0791315118754962E-2</v>
      </c>
      <c r="R13" s="101">
        <f t="shared" si="3"/>
        <v>55942.597520000003</v>
      </c>
    </row>
    <row r="14" spans="2:19">
      <c r="J14" s="98"/>
      <c r="K14" s="100">
        <v>2014</v>
      </c>
      <c r="L14" s="101">
        <f>'Données Energie'!L316/1000</f>
        <v>13563.5</v>
      </c>
      <c r="M14" s="102">
        <f t="shared" si="0"/>
        <v>0.27987562166011876</v>
      </c>
      <c r="N14" s="101">
        <f>'Données Energie'!L84/1000*2.58</f>
        <v>30788.878920000003</v>
      </c>
      <c r="O14" s="102">
        <f t="shared" si="1"/>
        <v>0.63531217074893098</v>
      </c>
      <c r="P14" s="101">
        <f>'Données Energie'!L252/1000</f>
        <v>4110.22</v>
      </c>
      <c r="Q14" s="102">
        <f t="shared" si="2"/>
        <v>8.481220759095022E-2</v>
      </c>
      <c r="R14" s="101">
        <f t="shared" si="3"/>
        <v>48462.598920000004</v>
      </c>
    </row>
    <row r="15" spans="2:19">
      <c r="J15" s="98"/>
      <c r="K15" s="100">
        <v>2015</v>
      </c>
      <c r="L15" s="101">
        <f>'Données Energie'!M316/1000</f>
        <v>15186.5</v>
      </c>
      <c r="M15" s="102">
        <f t="shared" si="0"/>
        <v>0.29963587015513521</v>
      </c>
      <c r="N15" s="101">
        <f>'Données Energie'!M84/1000*2.58</f>
        <v>31074.5262</v>
      </c>
      <c r="O15" s="102">
        <f t="shared" si="1"/>
        <v>0.61311313980150439</v>
      </c>
      <c r="P15" s="101">
        <f>'Données Energie'!M252/1000</f>
        <v>4422.1580000000004</v>
      </c>
      <c r="Q15" s="102">
        <f t="shared" si="2"/>
        <v>8.7250990043360385E-2</v>
      </c>
      <c r="R15" s="101">
        <f t="shared" si="3"/>
        <v>50683.184200000003</v>
      </c>
    </row>
    <row r="16" spans="2:19">
      <c r="J16" s="98"/>
      <c r="K16" s="100">
        <v>2016</v>
      </c>
      <c r="L16" s="101">
        <f>'Données Energie'!N316/1000</f>
        <v>15681.28</v>
      </c>
      <c r="M16" s="102">
        <f t="shared" si="0"/>
        <v>0.31556006689660593</v>
      </c>
      <c r="N16" s="101">
        <f>'Données Energie'!N84/1000*2.58</f>
        <v>29899.369740000002</v>
      </c>
      <c r="O16" s="102">
        <f t="shared" si="1"/>
        <v>0.60167582718507395</v>
      </c>
      <c r="P16" s="101">
        <f>'Données Energie'!N252/1000</f>
        <v>4112.8370000000004</v>
      </c>
      <c r="Q16" s="102">
        <f t="shared" si="2"/>
        <v>8.2764105918320202E-2</v>
      </c>
      <c r="R16" s="101">
        <f t="shared" si="3"/>
        <v>49693.48674</v>
      </c>
    </row>
    <row r="17" spans="10:18">
      <c r="J17" s="98"/>
      <c r="K17" s="100">
        <v>2017</v>
      </c>
      <c r="L17" s="101">
        <f>'Données Energie'!O316/1000</f>
        <v>14687.489</v>
      </c>
      <c r="M17" s="102">
        <f t="shared" si="0"/>
        <v>0.28322583852566385</v>
      </c>
      <c r="N17" s="101">
        <f>'Données Energie'!O84/1000*2.58</f>
        <v>33037.854006600006</v>
      </c>
      <c r="O17" s="102">
        <f t="shared" si="1"/>
        <v>0.63708465784095236</v>
      </c>
      <c r="P17" s="101">
        <f>'Données Energie'!O252/1000</f>
        <v>4132.5280000000002</v>
      </c>
      <c r="Q17" s="102">
        <f t="shared" si="2"/>
        <v>7.9689503633383812E-2</v>
      </c>
      <c r="R17" s="101">
        <f t="shared" si="3"/>
        <v>51857.871006600006</v>
      </c>
    </row>
    <row r="18" spans="10:18">
      <c r="J18" s="98"/>
      <c r="K18" s="100">
        <v>2018</v>
      </c>
      <c r="L18" s="101">
        <f>'Données Energie'!P316/1000</f>
        <v>13401</v>
      </c>
      <c r="M18" s="102">
        <f t="shared" si="0"/>
        <v>0.27554986895729006</v>
      </c>
      <c r="N18" s="101">
        <f>'Données Energie'!P84/1000*2.58</f>
        <v>31481.080935900005</v>
      </c>
      <c r="O18" s="102">
        <f t="shared" si="1"/>
        <v>0.6473104788091254</v>
      </c>
      <c r="P18" s="101">
        <f>'Données Energie'!P252/1000</f>
        <v>3751.5839999999998</v>
      </c>
      <c r="Q18" s="102">
        <f t="shared" si="2"/>
        <v>7.7139652233584516E-2</v>
      </c>
      <c r="R18" s="101">
        <f t="shared" si="3"/>
        <v>48633.664935900008</v>
      </c>
    </row>
    <row r="19" spans="10:18">
      <c r="J19" s="98"/>
      <c r="K19" s="100">
        <v>2019</v>
      </c>
      <c r="L19" s="101">
        <f>'Données Energie'!Q316/1000</f>
        <v>13646</v>
      </c>
      <c r="M19" s="102">
        <f t="shared" si="0"/>
        <v>0.27077398215934911</v>
      </c>
      <c r="N19" s="101">
        <f>'Données Energie'!Q84/1000*2.58</f>
        <v>32820.638749799997</v>
      </c>
      <c r="O19" s="102">
        <f t="shared" si="1"/>
        <v>0.65125128618619277</v>
      </c>
      <c r="P19" s="101">
        <f>'Données Energie'!Q252/1000</f>
        <v>3929.636</v>
      </c>
      <c r="Q19" s="102">
        <f t="shared" si="2"/>
        <v>7.797473165445816E-2</v>
      </c>
      <c r="R19" s="101">
        <f t="shared" si="3"/>
        <v>50396.274749799995</v>
      </c>
    </row>
    <row r="20" spans="10:18">
      <c r="J20" s="98"/>
      <c r="K20" s="98"/>
      <c r="L20" s="98"/>
      <c r="M20" s="98"/>
      <c r="N20" s="98"/>
      <c r="O20" s="98"/>
      <c r="P20" s="98"/>
      <c r="Q20" s="98"/>
      <c r="R20" s="98"/>
    </row>
    <row r="21" spans="10:18">
      <c r="J21" s="98"/>
      <c r="K21" s="98"/>
      <c r="L21" s="98"/>
      <c r="M21" s="98"/>
      <c r="N21" s="98"/>
      <c r="O21" s="98"/>
      <c r="P21" s="98"/>
      <c r="Q21" s="98"/>
      <c r="R21" s="98"/>
    </row>
    <row r="22" spans="10:18">
      <c r="J22" s="98"/>
    </row>
    <row r="23" spans="10:18" ht="35.25" customHeight="1">
      <c r="J23" s="98"/>
    </row>
    <row r="24" spans="10:18">
      <c r="J24" s="98"/>
    </row>
    <row r="25" spans="10:18">
      <c r="J25" s="98"/>
    </row>
    <row r="26" spans="10:18">
      <c r="J26" s="98"/>
    </row>
    <row r="27" spans="10:18">
      <c r="J27" s="98"/>
    </row>
    <row r="28" spans="10:18">
      <c r="J28" s="98"/>
    </row>
    <row r="29" spans="10:18">
      <c r="J29" s="98"/>
    </row>
    <row r="30" spans="10:18">
      <c r="J30" s="98"/>
    </row>
    <row r="31" spans="10:18">
      <c r="J31" s="98"/>
    </row>
    <row r="32" spans="10:18">
      <c r="J32" s="98"/>
    </row>
    <row r="33" spans="10:10">
      <c r="J33" s="98"/>
    </row>
    <row r="34" spans="10:10">
      <c r="J34" s="98"/>
    </row>
    <row r="35" spans="10:10">
      <c r="J35" s="98"/>
    </row>
    <row r="36" spans="10:10">
      <c r="J36" s="98"/>
    </row>
    <row r="38" spans="10:10" ht="35.25" customHeight="1"/>
    <row r="52" s="103" customFormat="1"/>
    <row r="58" ht="36" customHeight="1"/>
    <row r="66" spans="13:13">
      <c r="M66" s="34"/>
    </row>
    <row r="70" spans="13:13" ht="15.75" customHeight="1"/>
    <row r="71" spans="13:13" ht="14.25" customHeight="1"/>
  </sheetData>
  <mergeCells count="4">
    <mergeCell ref="L7:R7"/>
    <mergeCell ref="B1:J1"/>
    <mergeCell ref="B3:F3"/>
    <mergeCell ref="G3:J3"/>
  </mergeCells>
  <hyperlinks>
    <hyperlink ref="B3" location="Energies!A1" display="Détails consos, coût, carbone" xr:uid="{3B9D5CC7-01C8-4DAB-96A4-666E4E66A458}"/>
    <hyperlink ref="G3" location="'FE et prix moyen'!A1" display="Facteurs d'émissions" xr:uid="{4AF69B8F-7E37-4355-9535-7F0186846EDE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13975-3862-447E-A2F9-E52F7C896AF9}">
  <sheetPr>
    <tabColor theme="7"/>
  </sheetPr>
  <dimension ref="A4:S132"/>
  <sheetViews>
    <sheetView showGridLines="0" topLeftCell="A40" zoomScale="56" zoomScaleNormal="40" workbookViewId="0">
      <selection activeCell="C48" activeCellId="1" sqref="S48:S54 C48:C54"/>
    </sheetView>
  </sheetViews>
  <sheetFormatPr baseColWidth="10" defaultColWidth="9.109375" defaultRowHeight="14.4"/>
  <cols>
    <col min="1" max="1" width="6.77734375" customWidth="1"/>
    <col min="2" max="2" width="26.21875" customWidth="1"/>
    <col min="3" max="3" width="23.6640625" bestFit="1" customWidth="1"/>
    <col min="4" max="4" width="17.6640625" customWidth="1"/>
    <col min="5" max="5" width="18" customWidth="1"/>
    <col min="6" max="6" width="19.77734375" customWidth="1"/>
    <col min="7" max="7" width="15.44140625" customWidth="1"/>
    <col min="8" max="8" width="19.33203125" customWidth="1"/>
    <col min="9" max="9" width="15.109375" customWidth="1"/>
    <col min="10" max="10" width="20.109375" customWidth="1"/>
    <col min="11" max="11" width="15.77734375" customWidth="1"/>
    <col min="12" max="12" width="19" customWidth="1"/>
    <col min="13" max="13" width="15.6640625" customWidth="1"/>
    <col min="14" max="14" width="18.109375" customWidth="1"/>
    <col min="15" max="15" width="15" customWidth="1"/>
    <col min="16" max="16" width="18.77734375" customWidth="1"/>
    <col min="17" max="17" width="15" style="104" customWidth="1"/>
    <col min="18" max="18" width="18.6640625" style="104" customWidth="1"/>
    <col min="19" max="19" width="13.77734375" customWidth="1"/>
    <col min="20" max="20" width="14" customWidth="1"/>
    <col min="24" max="32" width="16" bestFit="1" customWidth="1"/>
    <col min="33" max="33" width="19.6640625" bestFit="1" customWidth="1"/>
    <col min="34" max="34" width="19.5546875" bestFit="1" customWidth="1"/>
    <col min="35" max="35" width="16.77734375" bestFit="1" customWidth="1"/>
    <col min="36" max="40" width="12.33203125" bestFit="1" customWidth="1"/>
    <col min="41" max="41" width="14.33203125" bestFit="1" customWidth="1"/>
    <col min="42" max="46" width="12.33203125" bestFit="1" customWidth="1"/>
    <col min="47" max="47" width="17.21875" bestFit="1" customWidth="1"/>
    <col min="48" max="49" width="12.33203125" bestFit="1" customWidth="1"/>
    <col min="50" max="50" width="13" bestFit="1" customWidth="1"/>
    <col min="51" max="54" width="12.33203125" bestFit="1" customWidth="1"/>
  </cols>
  <sheetData>
    <row r="4" spans="2:19">
      <c r="B4" s="113"/>
    </row>
    <row r="5" spans="2:19">
      <c r="B5" s="113"/>
    </row>
    <row r="10" spans="2:19" ht="25.8" customHeight="1">
      <c r="B10" s="689" t="s">
        <v>810</v>
      </c>
      <c r="C10" s="689"/>
      <c r="D10" s="689"/>
      <c r="E10" s="689"/>
      <c r="F10" s="689"/>
      <c r="G10" s="689"/>
      <c r="H10" s="689"/>
      <c r="I10" s="689"/>
      <c r="J10" s="689"/>
      <c r="K10" s="689"/>
      <c r="L10" s="689"/>
      <c r="M10" s="689"/>
      <c r="N10" s="689"/>
      <c r="O10" s="689"/>
      <c r="P10" s="689"/>
      <c r="Q10" s="689"/>
      <c r="R10" s="689"/>
    </row>
    <row r="11" spans="2:19">
      <c r="L11" s="80"/>
      <c r="N11" s="80"/>
      <c r="P11" s="80"/>
    </row>
    <row r="12" spans="2:19">
      <c r="F12" s="685">
        <v>2014</v>
      </c>
      <c r="G12" s="686"/>
      <c r="H12" s="681">
        <v>2015</v>
      </c>
      <c r="I12" s="682"/>
      <c r="J12" s="683">
        <v>2016</v>
      </c>
      <c r="K12" s="684"/>
      <c r="L12" s="681">
        <v>2017</v>
      </c>
      <c r="M12" s="682"/>
      <c r="N12" s="683">
        <v>2018</v>
      </c>
      <c r="O12" s="684"/>
      <c r="P12" s="681">
        <v>2019</v>
      </c>
      <c r="Q12" s="682"/>
      <c r="R12" s="683">
        <v>2020</v>
      </c>
      <c r="S12" s="684"/>
    </row>
    <row r="13" spans="2:19" ht="43.2">
      <c r="B13" s="82" t="s">
        <v>1074</v>
      </c>
      <c r="C13" s="514" t="s">
        <v>1075</v>
      </c>
      <c r="D13" s="202" t="s">
        <v>820</v>
      </c>
      <c r="E13" s="202" t="s">
        <v>1066</v>
      </c>
      <c r="F13" s="90" t="s">
        <v>281</v>
      </c>
      <c r="G13" s="90" t="s">
        <v>282</v>
      </c>
      <c r="H13" s="1" t="s">
        <v>281</v>
      </c>
      <c r="I13" s="1" t="s">
        <v>282</v>
      </c>
      <c r="J13" s="89" t="s">
        <v>281</v>
      </c>
      <c r="K13" s="89" t="s">
        <v>282</v>
      </c>
      <c r="L13" s="1" t="s">
        <v>281</v>
      </c>
      <c r="M13" s="1" t="s">
        <v>282</v>
      </c>
      <c r="N13" s="89" t="s">
        <v>281</v>
      </c>
      <c r="O13" s="89" t="s">
        <v>282</v>
      </c>
      <c r="P13" s="1" t="s">
        <v>281</v>
      </c>
      <c r="Q13" s="1" t="s">
        <v>282</v>
      </c>
      <c r="R13" s="89" t="s">
        <v>281</v>
      </c>
      <c r="S13" s="89" t="s">
        <v>282</v>
      </c>
    </row>
    <row r="14" spans="2:19">
      <c r="B14" s="81" t="s">
        <v>283</v>
      </c>
      <c r="C14" s="82" t="s">
        <v>284</v>
      </c>
      <c r="D14" s="203">
        <v>26</v>
      </c>
      <c r="E14" s="203">
        <v>39</v>
      </c>
      <c r="F14" s="204">
        <v>5314</v>
      </c>
      <c r="G14" s="204">
        <f>F14*D14/1000</f>
        <v>138.16399999999999</v>
      </c>
      <c r="H14" s="30">
        <v>2202</v>
      </c>
      <c r="I14" s="30">
        <f t="shared" ref="I14:I30" si="0">H14*D14</f>
        <v>57252</v>
      </c>
      <c r="J14" s="205">
        <v>3350</v>
      </c>
      <c r="K14" s="205">
        <f t="shared" ref="K14:K30" si="1">J14*D14</f>
        <v>87100</v>
      </c>
      <c r="L14" s="30">
        <v>5388</v>
      </c>
      <c r="M14" s="30">
        <f t="shared" ref="M14:M30" si="2">L14*D14</f>
        <v>140088</v>
      </c>
      <c r="N14" s="205">
        <v>6364</v>
      </c>
      <c r="O14" s="205">
        <f t="shared" ref="O14:O30" si="3">D14*N14</f>
        <v>165464</v>
      </c>
      <c r="P14" s="30">
        <v>2428</v>
      </c>
      <c r="Q14" s="30">
        <f t="shared" ref="Q14:Q30" si="4">P14*D14</f>
        <v>63128</v>
      </c>
      <c r="R14" s="205">
        <v>1068</v>
      </c>
      <c r="S14" s="211">
        <f>R14*E14</f>
        <v>41652</v>
      </c>
    </row>
    <row r="15" spans="2:19">
      <c r="B15" s="81" t="s">
        <v>283</v>
      </c>
      <c r="C15" s="82" t="s">
        <v>285</v>
      </c>
      <c r="D15" s="203">
        <v>43.5</v>
      </c>
      <c r="E15" s="203">
        <v>44</v>
      </c>
      <c r="F15" s="204">
        <v>1320</v>
      </c>
      <c r="G15" s="204">
        <f t="shared" ref="G15:G30" si="5">F15*D15</f>
        <v>57420</v>
      </c>
      <c r="H15" s="30">
        <v>585</v>
      </c>
      <c r="I15" s="30">
        <f t="shared" si="0"/>
        <v>25447.5</v>
      </c>
      <c r="J15" s="205">
        <v>690</v>
      </c>
      <c r="K15" s="205">
        <f t="shared" si="1"/>
        <v>30015</v>
      </c>
      <c r="L15" s="30">
        <v>305</v>
      </c>
      <c r="M15" s="30">
        <f t="shared" si="2"/>
        <v>13267.5</v>
      </c>
      <c r="N15" s="205">
        <v>775</v>
      </c>
      <c r="O15" s="205">
        <f t="shared" si="3"/>
        <v>33712.5</v>
      </c>
      <c r="P15" s="30">
        <v>1185</v>
      </c>
      <c r="Q15" s="30">
        <f t="shared" si="4"/>
        <v>51547.5</v>
      </c>
      <c r="R15" s="205">
        <v>570</v>
      </c>
      <c r="S15" s="211">
        <f t="shared" ref="S15:S46" si="6">R15*E15</f>
        <v>25080</v>
      </c>
    </row>
    <row r="16" spans="2:19" ht="13.8" customHeight="1">
      <c r="B16" s="81" t="s">
        <v>283</v>
      </c>
      <c r="C16" s="82" t="s">
        <v>286</v>
      </c>
      <c r="D16" s="203">
        <v>6.62</v>
      </c>
      <c r="E16" s="203">
        <v>5</v>
      </c>
      <c r="F16" s="204">
        <v>0</v>
      </c>
      <c r="G16" s="204">
        <f t="shared" si="5"/>
        <v>0</v>
      </c>
      <c r="H16" s="30">
        <v>120</v>
      </c>
      <c r="I16" s="30">
        <f t="shared" si="0"/>
        <v>794.4</v>
      </c>
      <c r="J16" s="205">
        <v>1982</v>
      </c>
      <c r="K16" s="205">
        <f t="shared" si="1"/>
        <v>13120.84</v>
      </c>
      <c r="L16" s="30">
        <v>505</v>
      </c>
      <c r="M16" s="30">
        <f t="shared" si="2"/>
        <v>3343.1</v>
      </c>
      <c r="N16" s="205">
        <v>730</v>
      </c>
      <c r="O16" s="205">
        <f t="shared" si="3"/>
        <v>4832.6000000000004</v>
      </c>
      <c r="P16" s="30">
        <v>741</v>
      </c>
      <c r="Q16" s="30">
        <f t="shared" si="4"/>
        <v>4905.42</v>
      </c>
      <c r="R16" s="205">
        <v>0</v>
      </c>
      <c r="S16" s="211">
        <f t="shared" si="6"/>
        <v>0</v>
      </c>
    </row>
    <row r="17" spans="2:19">
      <c r="B17" s="81" t="s">
        <v>283</v>
      </c>
      <c r="C17" s="82" t="s">
        <v>287</v>
      </c>
      <c r="D17" s="203">
        <v>17</v>
      </c>
      <c r="E17" s="203">
        <v>20</v>
      </c>
      <c r="F17" s="204">
        <v>1700</v>
      </c>
      <c r="G17" s="204">
        <f t="shared" si="5"/>
        <v>28900</v>
      </c>
      <c r="H17" s="30">
        <v>630</v>
      </c>
      <c r="I17" s="30">
        <f t="shared" si="0"/>
        <v>10710</v>
      </c>
      <c r="J17" s="205">
        <v>1913</v>
      </c>
      <c r="K17" s="205">
        <f t="shared" si="1"/>
        <v>32521</v>
      </c>
      <c r="L17" s="30">
        <v>2243</v>
      </c>
      <c r="M17" s="30">
        <f t="shared" si="2"/>
        <v>38131</v>
      </c>
      <c r="N17" s="205">
        <v>1565</v>
      </c>
      <c r="O17" s="205">
        <f t="shared" si="3"/>
        <v>26605</v>
      </c>
      <c r="P17" s="30">
        <v>1220</v>
      </c>
      <c r="Q17" s="30">
        <f t="shared" si="4"/>
        <v>20740</v>
      </c>
      <c r="R17" s="205">
        <v>890</v>
      </c>
      <c r="S17" s="211">
        <f t="shared" si="6"/>
        <v>17800</v>
      </c>
    </row>
    <row r="18" spans="2:19">
      <c r="B18" s="81" t="s">
        <v>283</v>
      </c>
      <c r="C18" s="82" t="s">
        <v>288</v>
      </c>
      <c r="D18" s="203">
        <v>8.17</v>
      </c>
      <c r="E18" s="203">
        <v>6</v>
      </c>
      <c r="F18" s="204">
        <v>4060</v>
      </c>
      <c r="G18" s="204">
        <f t="shared" si="5"/>
        <v>33170.199999999997</v>
      </c>
      <c r="H18" s="30">
        <v>1195</v>
      </c>
      <c r="I18" s="30">
        <f t="shared" si="0"/>
        <v>9763.15</v>
      </c>
      <c r="J18" s="205">
        <v>829</v>
      </c>
      <c r="K18" s="205">
        <f t="shared" si="1"/>
        <v>6772.93</v>
      </c>
      <c r="L18" s="30">
        <v>4556</v>
      </c>
      <c r="M18" s="30">
        <f t="shared" si="2"/>
        <v>37222.519999999997</v>
      </c>
      <c r="N18" s="205">
        <v>4080</v>
      </c>
      <c r="O18" s="205">
        <f t="shared" si="3"/>
        <v>33333.599999999999</v>
      </c>
      <c r="P18" s="206">
        <v>4700</v>
      </c>
      <c r="Q18" s="30">
        <f t="shared" si="4"/>
        <v>38399</v>
      </c>
      <c r="R18" s="205">
        <v>1055</v>
      </c>
      <c r="S18" s="211">
        <f t="shared" si="6"/>
        <v>6330</v>
      </c>
    </row>
    <row r="19" spans="2:19">
      <c r="B19" s="81" t="s">
        <v>283</v>
      </c>
      <c r="C19" s="82" t="s">
        <v>289</v>
      </c>
      <c r="D19" s="203">
        <v>13.5</v>
      </c>
      <c r="E19" s="203">
        <v>10</v>
      </c>
      <c r="F19" s="204">
        <v>400</v>
      </c>
      <c r="G19" s="204">
        <f t="shared" si="5"/>
        <v>5400</v>
      </c>
      <c r="H19" s="30">
        <v>130</v>
      </c>
      <c r="I19" s="30">
        <f t="shared" si="0"/>
        <v>1755</v>
      </c>
      <c r="J19" s="205">
        <v>250</v>
      </c>
      <c r="K19" s="205">
        <f t="shared" si="1"/>
        <v>3375</v>
      </c>
      <c r="L19" s="30">
        <v>40</v>
      </c>
      <c r="M19" s="30">
        <f t="shared" si="2"/>
        <v>540</v>
      </c>
      <c r="N19" s="205">
        <v>35</v>
      </c>
      <c r="O19" s="205">
        <f t="shared" si="3"/>
        <v>472.5</v>
      </c>
      <c r="P19" s="30">
        <v>34</v>
      </c>
      <c r="Q19" s="30">
        <f t="shared" si="4"/>
        <v>459</v>
      </c>
      <c r="R19" s="205">
        <v>85</v>
      </c>
      <c r="S19" s="211">
        <f t="shared" si="6"/>
        <v>850</v>
      </c>
    </row>
    <row r="20" spans="2:19">
      <c r="B20" s="81" t="s">
        <v>283</v>
      </c>
      <c r="C20" s="82" t="s">
        <v>290</v>
      </c>
      <c r="D20" s="203">
        <v>11</v>
      </c>
      <c r="E20" s="203">
        <v>6</v>
      </c>
      <c r="F20" s="204">
        <v>1735</v>
      </c>
      <c r="G20" s="204">
        <f t="shared" si="5"/>
        <v>19085</v>
      </c>
      <c r="H20" s="30">
        <v>494</v>
      </c>
      <c r="I20" s="30">
        <f t="shared" si="0"/>
        <v>5434</v>
      </c>
      <c r="J20" s="205">
        <v>180</v>
      </c>
      <c r="K20" s="205">
        <f t="shared" si="1"/>
        <v>1980</v>
      </c>
      <c r="L20" s="30">
        <v>610</v>
      </c>
      <c r="M20" s="30">
        <f t="shared" si="2"/>
        <v>6710</v>
      </c>
      <c r="N20" s="205">
        <v>424</v>
      </c>
      <c r="O20" s="205">
        <f t="shared" si="3"/>
        <v>4664</v>
      </c>
      <c r="P20" s="30">
        <v>255</v>
      </c>
      <c r="Q20" s="30">
        <f t="shared" si="4"/>
        <v>2805</v>
      </c>
      <c r="R20" s="205">
        <v>590</v>
      </c>
      <c r="S20" s="211">
        <f t="shared" si="6"/>
        <v>3540</v>
      </c>
    </row>
    <row r="21" spans="2:19" ht="14.4" customHeight="1">
      <c r="B21" s="81" t="s">
        <v>283</v>
      </c>
      <c r="C21" s="82" t="s">
        <v>28</v>
      </c>
      <c r="D21" s="203">
        <v>4.5</v>
      </c>
      <c r="E21" s="203">
        <v>6</v>
      </c>
      <c r="F21" s="204">
        <v>23604</v>
      </c>
      <c r="G21" s="204">
        <f t="shared" si="5"/>
        <v>106218</v>
      </c>
      <c r="H21" s="30">
        <v>17704</v>
      </c>
      <c r="I21" s="30">
        <f t="shared" si="0"/>
        <v>79668</v>
      </c>
      <c r="J21" s="205">
        <v>15609</v>
      </c>
      <c r="K21" s="205">
        <f t="shared" si="1"/>
        <v>70240.5</v>
      </c>
      <c r="L21" s="30">
        <v>15547</v>
      </c>
      <c r="M21" s="30">
        <f t="shared" si="2"/>
        <v>69961.5</v>
      </c>
      <c r="N21" s="205">
        <v>13175</v>
      </c>
      <c r="O21" s="205">
        <f t="shared" si="3"/>
        <v>59287.5</v>
      </c>
      <c r="P21" s="30">
        <v>13061</v>
      </c>
      <c r="Q21" s="30">
        <f t="shared" si="4"/>
        <v>58774.5</v>
      </c>
      <c r="R21" s="205">
        <v>7628</v>
      </c>
      <c r="S21" s="211">
        <f t="shared" si="6"/>
        <v>45768</v>
      </c>
    </row>
    <row r="22" spans="2:19" ht="14.4" customHeight="1">
      <c r="B22" s="81" t="s">
        <v>283</v>
      </c>
      <c r="C22" s="82" t="s">
        <v>291</v>
      </c>
      <c r="D22" s="203">
        <v>1</v>
      </c>
      <c r="E22" s="203">
        <v>1</v>
      </c>
      <c r="F22" s="204">
        <v>70000</v>
      </c>
      <c r="G22" s="204">
        <f t="shared" si="5"/>
        <v>70000</v>
      </c>
      <c r="H22" s="30">
        <v>73429</v>
      </c>
      <c r="I22" s="30">
        <f t="shared" si="0"/>
        <v>73429</v>
      </c>
      <c r="J22" s="205">
        <v>72601</v>
      </c>
      <c r="K22" s="205">
        <f t="shared" si="1"/>
        <v>72601</v>
      </c>
      <c r="L22" s="30">
        <v>60302</v>
      </c>
      <c r="M22" s="30">
        <f t="shared" si="2"/>
        <v>60302</v>
      </c>
      <c r="N22" s="205">
        <v>53719</v>
      </c>
      <c r="O22" s="205">
        <f t="shared" si="3"/>
        <v>53719</v>
      </c>
      <c r="P22" s="30">
        <v>55770</v>
      </c>
      <c r="Q22" s="30">
        <f t="shared" si="4"/>
        <v>55770</v>
      </c>
      <c r="R22" s="205">
        <v>22362</v>
      </c>
      <c r="S22" s="211">
        <f t="shared" si="6"/>
        <v>22362</v>
      </c>
    </row>
    <row r="23" spans="2:19" ht="14.4" customHeight="1">
      <c r="B23" s="83" t="s">
        <v>292</v>
      </c>
      <c r="C23" s="82" t="s">
        <v>1071</v>
      </c>
      <c r="D23" s="203">
        <v>5</v>
      </c>
      <c r="E23" s="203">
        <v>5</v>
      </c>
      <c r="F23" s="204">
        <v>3018</v>
      </c>
      <c r="G23" s="204">
        <f t="shared" si="5"/>
        <v>15090</v>
      </c>
      <c r="H23" s="30">
        <v>2490</v>
      </c>
      <c r="I23" s="30">
        <f t="shared" si="0"/>
        <v>12450</v>
      </c>
      <c r="J23" s="205">
        <v>2058</v>
      </c>
      <c r="K23" s="205">
        <f t="shared" si="1"/>
        <v>10290</v>
      </c>
      <c r="L23" s="30">
        <v>2683</v>
      </c>
      <c r="M23" s="30">
        <f t="shared" si="2"/>
        <v>13415</v>
      </c>
      <c r="N23" s="205">
        <v>3683</v>
      </c>
      <c r="O23" s="205">
        <f t="shared" si="3"/>
        <v>18415</v>
      </c>
      <c r="P23" s="30">
        <v>4111</v>
      </c>
      <c r="Q23" s="30">
        <f t="shared" si="4"/>
        <v>20555</v>
      </c>
      <c r="R23" s="205">
        <v>1721</v>
      </c>
      <c r="S23" s="211">
        <f t="shared" si="6"/>
        <v>8605</v>
      </c>
    </row>
    <row r="24" spans="2:19" ht="14.4" customHeight="1">
      <c r="B24" s="83" t="s">
        <v>292</v>
      </c>
      <c r="C24" s="82" t="s">
        <v>1070</v>
      </c>
      <c r="D24" s="203">
        <v>1</v>
      </c>
      <c r="E24" s="203">
        <v>1</v>
      </c>
      <c r="F24" s="204">
        <v>15645</v>
      </c>
      <c r="G24" s="204">
        <f t="shared" si="5"/>
        <v>15645</v>
      </c>
      <c r="H24" s="30">
        <v>14500</v>
      </c>
      <c r="I24" s="30">
        <f t="shared" si="0"/>
        <v>14500</v>
      </c>
      <c r="J24" s="205">
        <v>13887</v>
      </c>
      <c r="K24" s="205">
        <f t="shared" si="1"/>
        <v>13887</v>
      </c>
      <c r="L24" s="30">
        <v>18014</v>
      </c>
      <c r="M24" s="30">
        <f t="shared" si="2"/>
        <v>18014</v>
      </c>
      <c r="N24" s="205">
        <v>14467</v>
      </c>
      <c r="O24" s="205">
        <f t="shared" si="3"/>
        <v>14467</v>
      </c>
      <c r="P24" s="30">
        <v>16546</v>
      </c>
      <c r="Q24" s="30">
        <f t="shared" si="4"/>
        <v>16546</v>
      </c>
      <c r="R24" s="205">
        <v>6109</v>
      </c>
      <c r="S24" s="211">
        <f t="shared" si="6"/>
        <v>6109</v>
      </c>
    </row>
    <row r="25" spans="2:19">
      <c r="B25" s="83" t="s">
        <v>292</v>
      </c>
      <c r="C25" s="82" t="s">
        <v>1072</v>
      </c>
      <c r="D25" s="203">
        <v>1</v>
      </c>
      <c r="E25" s="203">
        <v>1</v>
      </c>
      <c r="F25" s="204">
        <v>5390</v>
      </c>
      <c r="G25" s="204">
        <f t="shared" si="5"/>
        <v>5390</v>
      </c>
      <c r="H25" s="30">
        <v>4230</v>
      </c>
      <c r="I25" s="30">
        <f t="shared" si="0"/>
        <v>4230</v>
      </c>
      <c r="J25" s="205">
        <v>1421</v>
      </c>
      <c r="K25" s="205">
        <f t="shared" si="1"/>
        <v>1421</v>
      </c>
      <c r="L25" s="206">
        <v>1587</v>
      </c>
      <c r="M25" s="30">
        <f t="shared" si="2"/>
        <v>1587</v>
      </c>
      <c r="N25" s="205">
        <v>1669</v>
      </c>
      <c r="O25" s="205">
        <f t="shared" si="3"/>
        <v>1669</v>
      </c>
      <c r="P25" s="30">
        <v>3410</v>
      </c>
      <c r="Q25" s="30">
        <f t="shared" si="4"/>
        <v>3410</v>
      </c>
      <c r="R25" s="205">
        <v>1837</v>
      </c>
      <c r="S25" s="211">
        <f t="shared" si="6"/>
        <v>1837</v>
      </c>
    </row>
    <row r="26" spans="2:19">
      <c r="B26" s="81" t="s">
        <v>293</v>
      </c>
      <c r="C26" s="82" t="s">
        <v>284</v>
      </c>
      <c r="D26" s="203">
        <v>26.1</v>
      </c>
      <c r="E26" s="203">
        <v>34</v>
      </c>
      <c r="F26" s="204">
        <v>6464</v>
      </c>
      <c r="G26" s="204">
        <f t="shared" si="5"/>
        <v>168710.40000000002</v>
      </c>
      <c r="H26" s="30">
        <v>3266</v>
      </c>
      <c r="I26" s="30">
        <f t="shared" si="0"/>
        <v>85242.6</v>
      </c>
      <c r="J26" s="205">
        <v>2750</v>
      </c>
      <c r="K26" s="205">
        <f t="shared" si="1"/>
        <v>71775</v>
      </c>
      <c r="L26" s="30">
        <v>2196</v>
      </c>
      <c r="M26" s="30">
        <f t="shared" si="2"/>
        <v>57315.600000000006</v>
      </c>
      <c r="N26" s="205">
        <v>2948</v>
      </c>
      <c r="O26" s="205">
        <f t="shared" si="3"/>
        <v>76942.8</v>
      </c>
      <c r="P26" s="30">
        <v>2403</v>
      </c>
      <c r="Q26" s="30">
        <f t="shared" si="4"/>
        <v>62718.3</v>
      </c>
      <c r="R26" s="205">
        <v>1112</v>
      </c>
      <c r="S26" s="211">
        <f t="shared" si="6"/>
        <v>37808</v>
      </c>
    </row>
    <row r="27" spans="2:19">
      <c r="B27" s="81" t="s">
        <v>293</v>
      </c>
      <c r="C27" s="82" t="s">
        <v>285</v>
      </c>
      <c r="D27" s="203">
        <v>43.5</v>
      </c>
      <c r="E27" s="203">
        <v>44</v>
      </c>
      <c r="F27" s="204">
        <v>1770</v>
      </c>
      <c r="G27" s="204">
        <f t="shared" si="5"/>
        <v>76995</v>
      </c>
      <c r="H27" s="30">
        <v>781</v>
      </c>
      <c r="I27" s="30">
        <f t="shared" si="0"/>
        <v>33973.5</v>
      </c>
      <c r="J27" s="205">
        <v>970</v>
      </c>
      <c r="K27" s="205">
        <f t="shared" si="1"/>
        <v>42195</v>
      </c>
      <c r="L27" s="30">
        <v>152</v>
      </c>
      <c r="M27" s="30">
        <f t="shared" si="2"/>
        <v>6612</v>
      </c>
      <c r="N27" s="205">
        <v>27</v>
      </c>
      <c r="O27" s="205">
        <f t="shared" si="3"/>
        <v>1174.5</v>
      </c>
      <c r="P27" s="30">
        <v>10</v>
      </c>
      <c r="Q27" s="30">
        <f t="shared" si="4"/>
        <v>435</v>
      </c>
      <c r="R27" s="205">
        <v>0</v>
      </c>
      <c r="S27" s="211">
        <f t="shared" si="6"/>
        <v>0</v>
      </c>
    </row>
    <row r="28" spans="2:19">
      <c r="B28" s="81" t="s">
        <v>293</v>
      </c>
      <c r="C28" s="82" t="s">
        <v>286</v>
      </c>
      <c r="D28" s="203">
        <v>7</v>
      </c>
      <c r="E28" s="203">
        <v>5</v>
      </c>
      <c r="F28" s="204">
        <v>13417</v>
      </c>
      <c r="G28" s="204">
        <f t="shared" si="5"/>
        <v>93919</v>
      </c>
      <c r="H28" s="30">
        <v>12564</v>
      </c>
      <c r="I28" s="30">
        <f t="shared" si="0"/>
        <v>87948</v>
      </c>
      <c r="J28" s="205">
        <v>14844</v>
      </c>
      <c r="K28" s="205">
        <f t="shared" si="1"/>
        <v>103908</v>
      </c>
      <c r="L28" s="30">
        <v>15636</v>
      </c>
      <c r="M28" s="30">
        <f t="shared" si="2"/>
        <v>109452</v>
      </c>
      <c r="N28" s="205">
        <v>13329</v>
      </c>
      <c r="O28" s="205">
        <f t="shared" si="3"/>
        <v>93303</v>
      </c>
      <c r="P28" s="30">
        <v>12052</v>
      </c>
      <c r="Q28" s="30">
        <f t="shared" si="4"/>
        <v>84364</v>
      </c>
      <c r="R28" s="205">
        <v>4152</v>
      </c>
      <c r="S28" s="211">
        <f t="shared" si="6"/>
        <v>20760</v>
      </c>
    </row>
    <row r="29" spans="2:19">
      <c r="B29" s="81" t="s">
        <v>293</v>
      </c>
      <c r="C29" s="82" t="s">
        <v>287</v>
      </c>
      <c r="D29" s="203">
        <v>16.7</v>
      </c>
      <c r="E29" s="203">
        <v>20</v>
      </c>
      <c r="F29" s="204">
        <v>3788</v>
      </c>
      <c r="G29" s="204">
        <f t="shared" si="5"/>
        <v>63259.6</v>
      </c>
      <c r="H29" s="30">
        <v>645</v>
      </c>
      <c r="I29" s="30">
        <f t="shared" si="0"/>
        <v>10771.5</v>
      </c>
      <c r="J29" s="205">
        <v>213</v>
      </c>
      <c r="K29" s="205">
        <f t="shared" si="1"/>
        <v>3557.1</v>
      </c>
      <c r="L29" s="30">
        <v>305</v>
      </c>
      <c r="M29" s="30">
        <f t="shared" si="2"/>
        <v>5093.5</v>
      </c>
      <c r="N29" s="205">
        <v>837</v>
      </c>
      <c r="O29" s="205">
        <f t="shared" si="3"/>
        <v>13977.9</v>
      </c>
      <c r="P29" s="30">
        <v>853</v>
      </c>
      <c r="Q29" s="30">
        <f t="shared" si="4"/>
        <v>14245.099999999999</v>
      </c>
      <c r="R29" s="205">
        <v>230</v>
      </c>
      <c r="S29" s="211">
        <f t="shared" si="6"/>
        <v>4600</v>
      </c>
    </row>
    <row r="30" spans="2:19">
      <c r="B30" s="81" t="s">
        <v>293</v>
      </c>
      <c r="C30" s="82" t="s">
        <v>288</v>
      </c>
      <c r="D30" s="203">
        <v>8.17</v>
      </c>
      <c r="E30" s="203">
        <v>6</v>
      </c>
      <c r="F30" s="204">
        <v>3281</v>
      </c>
      <c r="G30" s="204">
        <f t="shared" si="5"/>
        <v>26805.77</v>
      </c>
      <c r="H30" s="30">
        <v>6992</v>
      </c>
      <c r="I30" s="30">
        <f t="shared" si="0"/>
        <v>57124.639999999999</v>
      </c>
      <c r="J30" s="205">
        <v>6605</v>
      </c>
      <c r="K30" s="205">
        <f t="shared" si="1"/>
        <v>53962.85</v>
      </c>
      <c r="L30" s="30">
        <v>5967</v>
      </c>
      <c r="M30" s="30">
        <f t="shared" si="2"/>
        <v>48750.39</v>
      </c>
      <c r="N30" s="205">
        <v>6450</v>
      </c>
      <c r="O30" s="205">
        <f t="shared" si="3"/>
        <v>52696.5</v>
      </c>
      <c r="P30" s="30">
        <v>5249</v>
      </c>
      <c r="Q30" s="30">
        <f t="shared" si="4"/>
        <v>42884.33</v>
      </c>
      <c r="R30" s="205">
        <v>2549</v>
      </c>
      <c r="S30" s="211">
        <f t="shared" si="6"/>
        <v>15294</v>
      </c>
    </row>
    <row r="31" spans="2:19">
      <c r="B31" s="81" t="s">
        <v>293</v>
      </c>
      <c r="C31" s="82" t="s">
        <v>1065</v>
      </c>
      <c r="D31" s="203"/>
      <c r="E31" s="203">
        <v>6</v>
      </c>
      <c r="F31" s="204">
        <v>1045</v>
      </c>
      <c r="G31" s="204"/>
      <c r="H31" s="30">
        <v>980</v>
      </c>
      <c r="I31" s="30"/>
      <c r="J31" s="205">
        <v>1100</v>
      </c>
      <c r="K31" s="205"/>
      <c r="L31" s="30">
        <v>1083</v>
      </c>
      <c r="M31" s="30"/>
      <c r="N31" s="205">
        <v>1086</v>
      </c>
      <c r="O31" s="205"/>
      <c r="P31" s="30">
        <v>1200</v>
      </c>
      <c r="Q31" s="30"/>
      <c r="R31" s="205">
        <v>1139</v>
      </c>
      <c r="S31" s="211">
        <f t="shared" si="6"/>
        <v>6834</v>
      </c>
    </row>
    <row r="32" spans="2:19">
      <c r="B32" s="81" t="s">
        <v>293</v>
      </c>
      <c r="C32" s="82" t="s">
        <v>289</v>
      </c>
      <c r="D32" s="203">
        <v>13.5</v>
      </c>
      <c r="E32" s="203">
        <v>10</v>
      </c>
      <c r="F32" s="204">
        <v>4066</v>
      </c>
      <c r="G32" s="204">
        <f>F32*D32</f>
        <v>54891</v>
      </c>
      <c r="H32" s="30">
        <v>6645</v>
      </c>
      <c r="I32" s="30">
        <f>H32*D32</f>
        <v>89707.5</v>
      </c>
      <c r="J32" s="205">
        <v>4492</v>
      </c>
      <c r="K32" s="205">
        <f>J32*D32</f>
        <v>60642</v>
      </c>
      <c r="L32" s="30">
        <v>3854</v>
      </c>
      <c r="M32" s="30">
        <f>L32*D32</f>
        <v>52029</v>
      </c>
      <c r="N32" s="205">
        <v>3242</v>
      </c>
      <c r="O32" s="205">
        <f>D32*N32</f>
        <v>43767</v>
      </c>
      <c r="P32" s="30">
        <v>3630</v>
      </c>
      <c r="Q32" s="30">
        <f>P32*D32</f>
        <v>49005</v>
      </c>
      <c r="R32" s="205">
        <v>1483</v>
      </c>
      <c r="S32" s="211">
        <f t="shared" si="6"/>
        <v>14830</v>
      </c>
    </row>
    <row r="33" spans="2:19">
      <c r="B33" s="81" t="s">
        <v>293</v>
      </c>
      <c r="C33" s="82" t="s">
        <v>28</v>
      </c>
      <c r="D33" s="203"/>
      <c r="E33" s="203">
        <v>6</v>
      </c>
      <c r="F33" s="204">
        <v>0</v>
      </c>
      <c r="G33" s="204"/>
      <c r="H33" s="30">
        <v>0</v>
      </c>
      <c r="I33" s="30"/>
      <c r="J33" s="205">
        <v>0</v>
      </c>
      <c r="K33" s="205"/>
      <c r="L33" s="30">
        <v>0</v>
      </c>
      <c r="M33" s="30"/>
      <c r="N33" s="205">
        <v>2</v>
      </c>
      <c r="O33" s="205"/>
      <c r="P33" s="30">
        <v>105</v>
      </c>
      <c r="Q33" s="30"/>
      <c r="R33" s="205">
        <v>108</v>
      </c>
      <c r="S33" s="211">
        <f t="shared" si="6"/>
        <v>648</v>
      </c>
    </row>
    <row r="34" spans="2:19">
      <c r="B34" s="81" t="s">
        <v>293</v>
      </c>
      <c r="C34" s="82" t="s">
        <v>294</v>
      </c>
      <c r="D34" s="203">
        <v>6.7</v>
      </c>
      <c r="E34" s="203">
        <v>6</v>
      </c>
      <c r="F34" s="204">
        <v>698</v>
      </c>
      <c r="G34" s="204">
        <f t="shared" ref="G34:G46" si="7">F34*D34</f>
        <v>4676.6000000000004</v>
      </c>
      <c r="H34" s="30">
        <v>308</v>
      </c>
      <c r="I34" s="30">
        <f t="shared" ref="I34:I46" si="8">H34*D34</f>
        <v>2063.6</v>
      </c>
      <c r="J34" s="205">
        <v>441</v>
      </c>
      <c r="K34" s="205">
        <f t="shared" ref="K34:K46" si="9">J34*D34</f>
        <v>2954.7000000000003</v>
      </c>
      <c r="L34" s="30">
        <v>633</v>
      </c>
      <c r="M34" s="30">
        <f t="shared" ref="M34:M46" si="10">L34*D34</f>
        <v>4241.1000000000004</v>
      </c>
      <c r="N34" s="205">
        <v>831</v>
      </c>
      <c r="O34" s="205">
        <f t="shared" ref="O34:O46" si="11">D34*N34</f>
        <v>5567.7</v>
      </c>
      <c r="P34" s="30">
        <v>756</v>
      </c>
      <c r="Q34" s="30">
        <f t="shared" ref="Q34:Q46" si="12">P34*D34</f>
        <v>5065.2</v>
      </c>
      <c r="R34" s="205">
        <v>303.58999999999997</v>
      </c>
      <c r="S34" s="211">
        <f t="shared" si="6"/>
        <v>1821.54</v>
      </c>
    </row>
    <row r="35" spans="2:19">
      <c r="B35" s="81" t="s">
        <v>293</v>
      </c>
      <c r="C35" s="82" t="s">
        <v>291</v>
      </c>
      <c r="D35" s="203">
        <v>1</v>
      </c>
      <c r="E35" s="203">
        <v>1</v>
      </c>
      <c r="F35" s="204">
        <v>6656</v>
      </c>
      <c r="G35" s="204">
        <f t="shared" si="7"/>
        <v>6656</v>
      </c>
      <c r="H35" s="30">
        <v>5890</v>
      </c>
      <c r="I35" s="30">
        <f t="shared" si="8"/>
        <v>5890</v>
      </c>
      <c r="J35" s="205">
        <v>3503</v>
      </c>
      <c r="K35" s="205">
        <f t="shared" si="9"/>
        <v>3503</v>
      </c>
      <c r="L35" s="30">
        <v>3200</v>
      </c>
      <c r="M35" s="30">
        <f t="shared" si="10"/>
        <v>3200</v>
      </c>
      <c r="N35" s="205">
        <v>2950</v>
      </c>
      <c r="O35" s="205">
        <f t="shared" si="11"/>
        <v>2950</v>
      </c>
      <c r="P35" s="30">
        <v>3156</v>
      </c>
      <c r="Q35" s="30">
        <f t="shared" si="12"/>
        <v>3156</v>
      </c>
      <c r="R35" s="205">
        <v>350</v>
      </c>
      <c r="S35" s="211">
        <f t="shared" si="6"/>
        <v>350</v>
      </c>
    </row>
    <row r="36" spans="2:19">
      <c r="B36" s="81" t="s">
        <v>293</v>
      </c>
      <c r="C36" s="82" t="s">
        <v>295</v>
      </c>
      <c r="D36" s="203">
        <v>1</v>
      </c>
      <c r="E36" s="203">
        <v>1</v>
      </c>
      <c r="F36" s="204">
        <v>18800</v>
      </c>
      <c r="G36" s="204">
        <f t="shared" si="7"/>
        <v>18800</v>
      </c>
      <c r="H36" s="30">
        <v>17500</v>
      </c>
      <c r="I36" s="30">
        <f t="shared" si="8"/>
        <v>17500</v>
      </c>
      <c r="J36" s="205">
        <v>25740</v>
      </c>
      <c r="K36" s="205">
        <f t="shared" si="9"/>
        <v>25740</v>
      </c>
      <c r="L36" s="30">
        <v>28367</v>
      </c>
      <c r="M36" s="30">
        <f t="shared" si="10"/>
        <v>28367</v>
      </c>
      <c r="N36" s="205">
        <v>25860</v>
      </c>
      <c r="O36" s="205">
        <f t="shared" si="11"/>
        <v>25860</v>
      </c>
      <c r="P36" s="30">
        <v>30587</v>
      </c>
      <c r="Q36" s="30">
        <f t="shared" si="12"/>
        <v>30587</v>
      </c>
      <c r="R36" s="205">
        <v>11004</v>
      </c>
      <c r="S36" s="211">
        <f t="shared" si="6"/>
        <v>11004</v>
      </c>
    </row>
    <row r="37" spans="2:19">
      <c r="B37" s="81" t="s">
        <v>293</v>
      </c>
      <c r="C37" s="82" t="s">
        <v>296</v>
      </c>
      <c r="D37" s="203">
        <v>0.5</v>
      </c>
      <c r="E37" s="203">
        <v>1</v>
      </c>
      <c r="F37" s="204">
        <v>22500</v>
      </c>
      <c r="G37" s="204">
        <f t="shared" si="7"/>
        <v>11250</v>
      </c>
      <c r="H37" s="30">
        <v>23825</v>
      </c>
      <c r="I37" s="30">
        <f t="shared" si="8"/>
        <v>11912.5</v>
      </c>
      <c r="J37" s="205">
        <v>25459</v>
      </c>
      <c r="K37" s="205">
        <f t="shared" si="9"/>
        <v>12729.5</v>
      </c>
      <c r="L37" s="30">
        <v>26222</v>
      </c>
      <c r="M37" s="30">
        <f t="shared" si="10"/>
        <v>13111</v>
      </c>
      <c r="N37" s="205">
        <v>23921</v>
      </c>
      <c r="O37" s="205">
        <f t="shared" si="11"/>
        <v>11960.5</v>
      </c>
      <c r="P37" s="30">
        <v>24392</v>
      </c>
      <c r="Q37" s="30">
        <f t="shared" si="12"/>
        <v>12196</v>
      </c>
      <c r="R37" s="205">
        <v>12103</v>
      </c>
      <c r="S37" s="211">
        <f t="shared" si="6"/>
        <v>12103</v>
      </c>
    </row>
    <row r="38" spans="2:19">
      <c r="B38" s="81" t="s">
        <v>293</v>
      </c>
      <c r="C38" s="82" t="s">
        <v>297</v>
      </c>
      <c r="D38" s="203">
        <v>1</v>
      </c>
      <c r="E38" s="203">
        <v>1</v>
      </c>
      <c r="F38" s="204">
        <v>15700</v>
      </c>
      <c r="G38" s="204">
        <f t="shared" si="7"/>
        <v>15700</v>
      </c>
      <c r="H38" s="30">
        <v>6500</v>
      </c>
      <c r="I38" s="30">
        <f t="shared" si="8"/>
        <v>6500</v>
      </c>
      <c r="J38" s="205">
        <v>5610</v>
      </c>
      <c r="K38" s="205">
        <f t="shared" si="9"/>
        <v>5610</v>
      </c>
      <c r="L38" s="30">
        <v>8370</v>
      </c>
      <c r="M38" s="30">
        <f t="shared" si="10"/>
        <v>8370</v>
      </c>
      <c r="N38" s="205">
        <v>5480</v>
      </c>
      <c r="O38" s="205">
        <f t="shared" si="11"/>
        <v>5480</v>
      </c>
      <c r="P38" s="30">
        <v>1520</v>
      </c>
      <c r="Q38" s="30">
        <f t="shared" si="12"/>
        <v>1520</v>
      </c>
      <c r="R38" s="205">
        <v>500</v>
      </c>
      <c r="S38" s="211">
        <f t="shared" si="6"/>
        <v>500</v>
      </c>
    </row>
    <row r="39" spans="2:19">
      <c r="B39" s="81" t="s">
        <v>293</v>
      </c>
      <c r="C39" s="82" t="s">
        <v>298</v>
      </c>
      <c r="D39" s="203">
        <v>2.5</v>
      </c>
      <c r="E39" s="203">
        <v>3</v>
      </c>
      <c r="F39" s="204">
        <v>47116</v>
      </c>
      <c r="G39" s="204">
        <f t="shared" si="7"/>
        <v>117790</v>
      </c>
      <c r="H39" s="30">
        <v>50824</v>
      </c>
      <c r="I39" s="30">
        <f t="shared" si="8"/>
        <v>127060</v>
      </c>
      <c r="J39" s="205">
        <v>37634</v>
      </c>
      <c r="K39" s="205">
        <f t="shared" si="9"/>
        <v>94085</v>
      </c>
      <c r="L39" s="30">
        <v>40200</v>
      </c>
      <c r="M39" s="30">
        <f t="shared" si="10"/>
        <v>100500</v>
      </c>
      <c r="N39" s="205">
        <v>45200</v>
      </c>
      <c r="O39" s="205">
        <f t="shared" si="11"/>
        <v>113000</v>
      </c>
      <c r="P39" s="30">
        <v>39027</v>
      </c>
      <c r="Q39" s="30">
        <f t="shared" si="12"/>
        <v>97567.5</v>
      </c>
      <c r="R39" s="205">
        <v>14914</v>
      </c>
      <c r="S39" s="211">
        <f t="shared" si="6"/>
        <v>44742</v>
      </c>
    </row>
    <row r="40" spans="2:19">
      <c r="B40" s="81" t="s">
        <v>293</v>
      </c>
      <c r="C40" s="82" t="s">
        <v>1078</v>
      </c>
      <c r="D40" s="203">
        <v>15.5</v>
      </c>
      <c r="E40" s="203">
        <v>15.5</v>
      </c>
      <c r="F40" s="204">
        <v>5931</v>
      </c>
      <c r="G40" s="204">
        <f>F40*D40</f>
        <v>91930.5</v>
      </c>
      <c r="H40" s="30">
        <v>5705</v>
      </c>
      <c r="I40" s="30">
        <f t="shared" si="8"/>
        <v>88427.5</v>
      </c>
      <c r="J40" s="205">
        <v>4198</v>
      </c>
      <c r="K40" s="205">
        <f t="shared" si="9"/>
        <v>65069</v>
      </c>
      <c r="L40" s="30">
        <v>4748</v>
      </c>
      <c r="M40" s="30">
        <f t="shared" si="10"/>
        <v>73594</v>
      </c>
      <c r="N40" s="205">
        <v>5088</v>
      </c>
      <c r="O40" s="205">
        <f t="shared" si="11"/>
        <v>78864</v>
      </c>
      <c r="P40" s="30">
        <v>5732</v>
      </c>
      <c r="Q40" s="30">
        <f t="shared" si="12"/>
        <v>88846</v>
      </c>
      <c r="R40" s="205">
        <v>2507</v>
      </c>
      <c r="S40" s="211">
        <f>R40*E40</f>
        <v>38858.5</v>
      </c>
    </row>
    <row r="41" spans="2:19">
      <c r="B41" s="81" t="s">
        <v>293</v>
      </c>
      <c r="C41" s="82" t="s">
        <v>1079</v>
      </c>
      <c r="D41" s="203">
        <v>2.5</v>
      </c>
      <c r="E41" s="203">
        <v>2.5</v>
      </c>
      <c r="F41" s="204">
        <v>9625</v>
      </c>
      <c r="G41" s="204">
        <f>F41*D41</f>
        <v>24062.5</v>
      </c>
      <c r="H41" s="30">
        <v>7599</v>
      </c>
      <c r="I41" s="30">
        <f t="shared" si="8"/>
        <v>18997.5</v>
      </c>
      <c r="J41" s="205">
        <v>8206</v>
      </c>
      <c r="K41" s="205">
        <f t="shared" si="9"/>
        <v>20515</v>
      </c>
      <c r="L41" s="30">
        <v>8669</v>
      </c>
      <c r="M41" s="30">
        <f t="shared" si="10"/>
        <v>21672.5</v>
      </c>
      <c r="N41" s="205">
        <v>8465</v>
      </c>
      <c r="O41" s="205">
        <f t="shared" si="11"/>
        <v>21162.5</v>
      </c>
      <c r="P41" s="30">
        <v>9312</v>
      </c>
      <c r="Q41" s="30">
        <f t="shared" si="12"/>
        <v>23280</v>
      </c>
      <c r="R41" s="205">
        <v>4572</v>
      </c>
      <c r="S41" s="211">
        <f t="shared" ref="S41:S43" si="13">R41*E41</f>
        <v>11430</v>
      </c>
    </row>
    <row r="42" spans="2:19">
      <c r="B42" s="81" t="s">
        <v>293</v>
      </c>
      <c r="C42" s="82" t="s">
        <v>1080</v>
      </c>
      <c r="D42" s="203">
        <v>1.49</v>
      </c>
      <c r="E42" s="203">
        <v>1.49</v>
      </c>
      <c r="F42" s="204">
        <v>13695</v>
      </c>
      <c r="G42" s="204">
        <f>F42*D42</f>
        <v>20405.55</v>
      </c>
      <c r="H42" s="30">
        <v>11131</v>
      </c>
      <c r="I42" s="30">
        <f t="shared" si="8"/>
        <v>16585.189999999999</v>
      </c>
      <c r="J42" s="205">
        <v>8131</v>
      </c>
      <c r="K42" s="205">
        <f t="shared" si="9"/>
        <v>12115.19</v>
      </c>
      <c r="L42" s="30">
        <v>7618</v>
      </c>
      <c r="M42" s="30">
        <f t="shared" si="10"/>
        <v>11350.82</v>
      </c>
      <c r="N42" s="205">
        <v>7551</v>
      </c>
      <c r="O42" s="205">
        <f t="shared" si="11"/>
        <v>11250.99</v>
      </c>
      <c r="P42" s="30">
        <v>8965</v>
      </c>
      <c r="Q42" s="30">
        <f t="shared" si="12"/>
        <v>13357.85</v>
      </c>
      <c r="R42" s="205">
        <v>3670</v>
      </c>
      <c r="S42" s="211">
        <f t="shared" si="13"/>
        <v>5468.3</v>
      </c>
    </row>
    <row r="43" spans="2:19">
      <c r="B43" s="81" t="s">
        <v>293</v>
      </c>
      <c r="C43" s="82" t="s">
        <v>1081</v>
      </c>
      <c r="D43" s="203">
        <v>3.7</v>
      </c>
      <c r="E43" s="203">
        <v>3.7</v>
      </c>
      <c r="F43" s="204">
        <v>10809</v>
      </c>
      <c r="G43" s="204">
        <f>F43*D43</f>
        <v>39993.300000000003</v>
      </c>
      <c r="H43" s="30">
        <v>9767</v>
      </c>
      <c r="I43" s="30">
        <f t="shared" si="8"/>
        <v>36137.9</v>
      </c>
      <c r="J43" s="205">
        <v>9021</v>
      </c>
      <c r="K43" s="205">
        <f t="shared" si="9"/>
        <v>33377.700000000004</v>
      </c>
      <c r="L43" s="30">
        <v>10326</v>
      </c>
      <c r="M43" s="30">
        <f t="shared" si="10"/>
        <v>38206.200000000004</v>
      </c>
      <c r="N43" s="205">
        <v>10306</v>
      </c>
      <c r="O43" s="205">
        <f t="shared" si="11"/>
        <v>38132.200000000004</v>
      </c>
      <c r="P43" s="30">
        <v>11440</v>
      </c>
      <c r="Q43" s="30">
        <f t="shared" si="12"/>
        <v>42328</v>
      </c>
      <c r="R43" s="205">
        <v>4639</v>
      </c>
      <c r="S43" s="211">
        <f t="shared" si="13"/>
        <v>17164.3</v>
      </c>
    </row>
    <row r="44" spans="2:19">
      <c r="B44" s="81" t="s">
        <v>293</v>
      </c>
      <c r="C44" s="82" t="s">
        <v>299</v>
      </c>
      <c r="D44" s="203">
        <v>5.4</v>
      </c>
      <c r="E44" s="203">
        <v>5.4</v>
      </c>
      <c r="F44" s="204">
        <v>8799</v>
      </c>
      <c r="G44" s="204">
        <f t="shared" si="7"/>
        <v>47514.600000000006</v>
      </c>
      <c r="H44" s="30">
        <v>7308</v>
      </c>
      <c r="I44" s="30">
        <f t="shared" si="8"/>
        <v>39463.200000000004</v>
      </c>
      <c r="J44" s="205">
        <v>6870</v>
      </c>
      <c r="K44" s="205">
        <f t="shared" si="9"/>
        <v>37098</v>
      </c>
      <c r="L44" s="30">
        <v>8262</v>
      </c>
      <c r="M44" s="30">
        <f t="shared" si="10"/>
        <v>44614.8</v>
      </c>
      <c r="N44" s="205">
        <v>8130</v>
      </c>
      <c r="O44" s="205">
        <f t="shared" si="11"/>
        <v>43902</v>
      </c>
      <c r="P44" s="30">
        <v>8516</v>
      </c>
      <c r="Q44" s="30">
        <f t="shared" si="12"/>
        <v>45986.400000000001</v>
      </c>
      <c r="R44" s="205">
        <v>4341</v>
      </c>
      <c r="S44" s="211">
        <f t="shared" si="6"/>
        <v>23441.4</v>
      </c>
    </row>
    <row r="45" spans="2:19">
      <c r="B45" s="81" t="s">
        <v>293</v>
      </c>
      <c r="C45" s="82" t="s">
        <v>300</v>
      </c>
      <c r="D45" s="203">
        <v>0.6</v>
      </c>
      <c r="E45" s="203">
        <v>0.6</v>
      </c>
      <c r="F45" s="204">
        <v>37540</v>
      </c>
      <c r="G45" s="204">
        <f t="shared" si="7"/>
        <v>22524</v>
      </c>
      <c r="H45" s="30">
        <v>36400</v>
      </c>
      <c r="I45" s="30">
        <f t="shared" si="8"/>
        <v>21840</v>
      </c>
      <c r="J45" s="205">
        <v>36200</v>
      </c>
      <c r="K45" s="205">
        <f t="shared" si="9"/>
        <v>21720</v>
      </c>
      <c r="L45" s="30">
        <v>36690</v>
      </c>
      <c r="M45" s="30">
        <f t="shared" si="10"/>
        <v>22014</v>
      </c>
      <c r="N45" s="205">
        <v>24940</v>
      </c>
      <c r="O45" s="205">
        <f t="shared" si="11"/>
        <v>14964</v>
      </c>
      <c r="P45" s="30">
        <v>23508</v>
      </c>
      <c r="Q45" s="30">
        <f t="shared" si="12"/>
        <v>14104.8</v>
      </c>
      <c r="R45" s="205">
        <v>10000</v>
      </c>
      <c r="S45" s="211">
        <f t="shared" si="6"/>
        <v>6000</v>
      </c>
    </row>
    <row r="46" spans="2:19">
      <c r="B46" s="81" t="s">
        <v>293</v>
      </c>
      <c r="C46" s="82" t="s">
        <v>301</v>
      </c>
      <c r="D46" s="203">
        <v>1.1399999999999999</v>
      </c>
      <c r="E46" s="203">
        <v>1.1399999999999999</v>
      </c>
      <c r="F46" s="204">
        <v>3135</v>
      </c>
      <c r="G46" s="204">
        <f t="shared" si="7"/>
        <v>3573.8999999999996</v>
      </c>
      <c r="H46" s="30">
        <v>2980</v>
      </c>
      <c r="I46" s="30">
        <f t="shared" si="8"/>
        <v>3397.2</v>
      </c>
      <c r="J46" s="205">
        <v>3200</v>
      </c>
      <c r="K46" s="205">
        <f t="shared" si="9"/>
        <v>3647.9999999999995</v>
      </c>
      <c r="L46" s="30">
        <v>3540</v>
      </c>
      <c r="M46" s="30">
        <f t="shared" si="10"/>
        <v>4035.5999999999995</v>
      </c>
      <c r="N46" s="205">
        <v>3680</v>
      </c>
      <c r="O46" s="205">
        <f t="shared" si="11"/>
        <v>4195.2</v>
      </c>
      <c r="P46" s="30">
        <v>3385</v>
      </c>
      <c r="Q46" s="30">
        <f t="shared" si="12"/>
        <v>3858.8999999999996</v>
      </c>
      <c r="R46" s="205">
        <v>558</v>
      </c>
      <c r="S46" s="211">
        <f t="shared" si="6"/>
        <v>636.11999999999989</v>
      </c>
    </row>
    <row r="47" spans="2:19" ht="18">
      <c r="B47" s="687" t="s">
        <v>1076</v>
      </c>
      <c r="C47" s="688"/>
      <c r="D47" s="688"/>
      <c r="E47" s="688"/>
      <c r="F47" s="506" t="s">
        <v>1069</v>
      </c>
      <c r="G47" s="506" t="s">
        <v>1068</v>
      </c>
      <c r="H47" s="506" t="s">
        <v>1069</v>
      </c>
      <c r="I47" s="506" t="s">
        <v>1068</v>
      </c>
      <c r="J47" s="506" t="s">
        <v>1069</v>
      </c>
      <c r="K47" s="506" t="s">
        <v>1068</v>
      </c>
      <c r="L47" s="506" t="s">
        <v>1069</v>
      </c>
      <c r="M47" s="506" t="s">
        <v>1068</v>
      </c>
      <c r="N47" s="506" t="s">
        <v>1069</v>
      </c>
      <c r="O47" s="506" t="s">
        <v>1068</v>
      </c>
      <c r="P47" s="506" t="s">
        <v>1069</v>
      </c>
      <c r="Q47" s="506" t="s">
        <v>1068</v>
      </c>
      <c r="R47" s="506" t="s">
        <v>1069</v>
      </c>
      <c r="S47" s="506" t="s">
        <v>1068</v>
      </c>
    </row>
    <row r="48" spans="2:19">
      <c r="B48" s="515" t="s">
        <v>1067</v>
      </c>
      <c r="C48" s="82" t="s">
        <v>284</v>
      </c>
      <c r="D48" s="502"/>
      <c r="E48" s="502"/>
      <c r="F48" s="212">
        <f t="shared" ref="F48:S48" si="14">(F14+F26)/1000</f>
        <v>11.778</v>
      </c>
      <c r="G48" s="212">
        <f t="shared" si="14"/>
        <v>168.84856400000001</v>
      </c>
      <c r="H48" s="516">
        <f t="shared" si="14"/>
        <v>5.468</v>
      </c>
      <c r="I48" s="516">
        <f t="shared" si="14"/>
        <v>142.49460000000002</v>
      </c>
      <c r="J48" s="212">
        <f t="shared" si="14"/>
        <v>6.1</v>
      </c>
      <c r="K48" s="212">
        <f t="shared" si="14"/>
        <v>158.875</v>
      </c>
      <c r="L48" s="516">
        <f t="shared" si="14"/>
        <v>7.5839999999999996</v>
      </c>
      <c r="M48" s="516">
        <f t="shared" si="14"/>
        <v>197.40360000000001</v>
      </c>
      <c r="N48" s="212">
        <f t="shared" si="14"/>
        <v>9.3119999999999994</v>
      </c>
      <c r="O48" s="212">
        <f t="shared" si="14"/>
        <v>242.40679999999998</v>
      </c>
      <c r="P48" s="516">
        <f t="shared" si="14"/>
        <v>4.8310000000000004</v>
      </c>
      <c r="Q48" s="516">
        <f t="shared" si="14"/>
        <v>125.8463</v>
      </c>
      <c r="R48" s="212">
        <f t="shared" si="14"/>
        <v>2.1800000000000002</v>
      </c>
      <c r="S48" s="212">
        <f t="shared" si="14"/>
        <v>79.459999999999994</v>
      </c>
    </row>
    <row r="49" spans="2:19">
      <c r="B49" s="515" t="s">
        <v>1067</v>
      </c>
      <c r="C49" s="82" t="s">
        <v>289</v>
      </c>
      <c r="D49" s="502"/>
      <c r="E49" s="502"/>
      <c r="F49" s="212">
        <f t="shared" ref="F49:S49" si="15">(F19+F32)/1000</f>
        <v>4.4660000000000002</v>
      </c>
      <c r="G49" s="212">
        <f t="shared" si="15"/>
        <v>60.290999999999997</v>
      </c>
      <c r="H49" s="516">
        <f t="shared" si="15"/>
        <v>6.7750000000000004</v>
      </c>
      <c r="I49" s="516">
        <f t="shared" si="15"/>
        <v>91.462500000000006</v>
      </c>
      <c r="J49" s="212">
        <f t="shared" si="15"/>
        <v>4.742</v>
      </c>
      <c r="K49" s="212">
        <f t="shared" si="15"/>
        <v>64.016999999999996</v>
      </c>
      <c r="L49" s="516">
        <f t="shared" si="15"/>
        <v>3.8940000000000001</v>
      </c>
      <c r="M49" s="516">
        <f t="shared" si="15"/>
        <v>52.569000000000003</v>
      </c>
      <c r="N49" s="212">
        <f t="shared" si="15"/>
        <v>3.2770000000000001</v>
      </c>
      <c r="O49" s="212">
        <f t="shared" si="15"/>
        <v>44.2395</v>
      </c>
      <c r="P49" s="516">
        <f t="shared" si="15"/>
        <v>3.6640000000000001</v>
      </c>
      <c r="Q49" s="516">
        <f t="shared" si="15"/>
        <v>49.463999999999999</v>
      </c>
      <c r="R49" s="212">
        <f t="shared" si="15"/>
        <v>1.5680000000000001</v>
      </c>
      <c r="S49" s="212">
        <f t="shared" si="15"/>
        <v>15.68</v>
      </c>
    </row>
    <row r="50" spans="2:19">
      <c r="B50" s="515" t="s">
        <v>1067</v>
      </c>
      <c r="C50" s="82" t="s">
        <v>285</v>
      </c>
      <c r="D50" s="502"/>
      <c r="E50" s="502"/>
      <c r="F50" s="212">
        <f t="shared" ref="F50:S50" si="16">(F15+F27)/1000</f>
        <v>3.09</v>
      </c>
      <c r="G50" s="212">
        <f t="shared" si="16"/>
        <v>134.41499999999999</v>
      </c>
      <c r="H50" s="516">
        <f t="shared" si="16"/>
        <v>1.3660000000000001</v>
      </c>
      <c r="I50" s="516">
        <f t="shared" si="16"/>
        <v>59.420999999999999</v>
      </c>
      <c r="J50" s="212">
        <f t="shared" si="16"/>
        <v>1.66</v>
      </c>
      <c r="K50" s="212">
        <f t="shared" si="16"/>
        <v>72.209999999999994</v>
      </c>
      <c r="L50" s="516">
        <f t="shared" si="16"/>
        <v>0.45700000000000002</v>
      </c>
      <c r="M50" s="516">
        <f t="shared" si="16"/>
        <v>19.8795</v>
      </c>
      <c r="N50" s="212">
        <f t="shared" si="16"/>
        <v>0.80200000000000005</v>
      </c>
      <c r="O50" s="212">
        <f t="shared" si="16"/>
        <v>34.887</v>
      </c>
      <c r="P50" s="516">
        <f t="shared" si="16"/>
        <v>1.1950000000000001</v>
      </c>
      <c r="Q50" s="516">
        <f t="shared" si="16"/>
        <v>51.982500000000002</v>
      </c>
      <c r="R50" s="212">
        <f t="shared" si="16"/>
        <v>0.56999999999999995</v>
      </c>
      <c r="S50" s="212">
        <f t="shared" si="16"/>
        <v>25.08</v>
      </c>
    </row>
    <row r="51" spans="2:19">
      <c r="B51" s="515" t="s">
        <v>1067</v>
      </c>
      <c r="C51" s="82" t="s">
        <v>286</v>
      </c>
      <c r="D51" s="502"/>
      <c r="E51" s="502"/>
      <c r="F51" s="212">
        <f t="shared" ref="F51:S51" si="17">(F16+F28)/1000</f>
        <v>13.417</v>
      </c>
      <c r="G51" s="212">
        <f t="shared" si="17"/>
        <v>93.918999999999997</v>
      </c>
      <c r="H51" s="516">
        <f t="shared" si="17"/>
        <v>12.683999999999999</v>
      </c>
      <c r="I51" s="516">
        <f t="shared" si="17"/>
        <v>88.742399999999989</v>
      </c>
      <c r="J51" s="212">
        <f t="shared" si="17"/>
        <v>16.826000000000001</v>
      </c>
      <c r="K51" s="212">
        <f t="shared" si="17"/>
        <v>117.02884</v>
      </c>
      <c r="L51" s="516">
        <f t="shared" si="17"/>
        <v>16.140999999999998</v>
      </c>
      <c r="M51" s="516">
        <f t="shared" si="17"/>
        <v>112.79510000000001</v>
      </c>
      <c r="N51" s="212">
        <f t="shared" si="17"/>
        <v>14.058999999999999</v>
      </c>
      <c r="O51" s="212">
        <f t="shared" si="17"/>
        <v>98.135600000000011</v>
      </c>
      <c r="P51" s="516">
        <f t="shared" si="17"/>
        <v>12.792999999999999</v>
      </c>
      <c r="Q51" s="516">
        <f t="shared" si="17"/>
        <v>89.269419999999997</v>
      </c>
      <c r="R51" s="212">
        <f t="shared" si="17"/>
        <v>4.1520000000000001</v>
      </c>
      <c r="S51" s="212">
        <f t="shared" si="17"/>
        <v>20.76</v>
      </c>
    </row>
    <row r="52" spans="2:19">
      <c r="B52" s="515" t="s">
        <v>1067</v>
      </c>
      <c r="C52" s="82" t="s">
        <v>288</v>
      </c>
      <c r="D52" s="502"/>
      <c r="E52" s="502"/>
      <c r="F52" s="212">
        <f t="shared" ref="F52:S52" si="18">(F18+F30)/1000</f>
        <v>7.3410000000000002</v>
      </c>
      <c r="G52" s="212">
        <f t="shared" si="18"/>
        <v>59.975970000000004</v>
      </c>
      <c r="H52" s="516">
        <f t="shared" si="18"/>
        <v>8.1869999999999994</v>
      </c>
      <c r="I52" s="516">
        <f t="shared" si="18"/>
        <v>66.887789999999995</v>
      </c>
      <c r="J52" s="212">
        <f t="shared" si="18"/>
        <v>7.4340000000000002</v>
      </c>
      <c r="K52" s="212">
        <f t="shared" si="18"/>
        <v>60.735779999999998</v>
      </c>
      <c r="L52" s="516">
        <f t="shared" si="18"/>
        <v>10.523</v>
      </c>
      <c r="M52" s="516">
        <f t="shared" si="18"/>
        <v>85.972909999999999</v>
      </c>
      <c r="N52" s="212">
        <f t="shared" si="18"/>
        <v>10.53</v>
      </c>
      <c r="O52" s="212">
        <f t="shared" si="18"/>
        <v>86.030100000000004</v>
      </c>
      <c r="P52" s="516">
        <f t="shared" si="18"/>
        <v>9.9489999999999998</v>
      </c>
      <c r="Q52" s="516">
        <f t="shared" si="18"/>
        <v>81.283330000000007</v>
      </c>
      <c r="R52" s="212">
        <f t="shared" si="18"/>
        <v>3.6040000000000001</v>
      </c>
      <c r="S52" s="212">
        <f t="shared" si="18"/>
        <v>21.623999999999999</v>
      </c>
    </row>
    <row r="53" spans="2:19">
      <c r="B53" s="515" t="s">
        <v>1067</v>
      </c>
      <c r="C53" s="82" t="s">
        <v>287</v>
      </c>
      <c r="D53" s="502"/>
      <c r="E53" s="502"/>
      <c r="F53" s="212">
        <f t="shared" ref="F53:S53" si="19">(F17+F29)/1000</f>
        <v>5.4880000000000004</v>
      </c>
      <c r="G53" s="212">
        <f t="shared" si="19"/>
        <v>92.159600000000012</v>
      </c>
      <c r="H53" s="516">
        <f t="shared" si="19"/>
        <v>1.2749999999999999</v>
      </c>
      <c r="I53" s="516">
        <f t="shared" si="19"/>
        <v>21.4815</v>
      </c>
      <c r="J53" s="212">
        <f t="shared" si="19"/>
        <v>2.1259999999999999</v>
      </c>
      <c r="K53" s="212">
        <f t="shared" si="19"/>
        <v>36.078099999999999</v>
      </c>
      <c r="L53" s="516">
        <f t="shared" si="19"/>
        <v>2.548</v>
      </c>
      <c r="M53" s="516">
        <f t="shared" si="19"/>
        <v>43.224499999999999</v>
      </c>
      <c r="N53" s="212">
        <f t="shared" si="19"/>
        <v>2.4020000000000001</v>
      </c>
      <c r="O53" s="212">
        <f t="shared" si="19"/>
        <v>40.582900000000002</v>
      </c>
      <c r="P53" s="516">
        <f t="shared" si="19"/>
        <v>2.073</v>
      </c>
      <c r="Q53" s="516">
        <f t="shared" si="19"/>
        <v>34.985099999999996</v>
      </c>
      <c r="R53" s="212">
        <f t="shared" si="19"/>
        <v>1.1200000000000001</v>
      </c>
      <c r="S53" s="212">
        <f t="shared" si="19"/>
        <v>22.4</v>
      </c>
    </row>
    <row r="54" spans="2:19">
      <c r="B54" s="515" t="s">
        <v>1067</v>
      </c>
      <c r="C54" s="82" t="s">
        <v>1065</v>
      </c>
      <c r="D54" s="502"/>
      <c r="E54" s="502"/>
      <c r="F54" s="212">
        <f t="shared" ref="F54:S54" si="20">(F20+F31)/1000</f>
        <v>2.78</v>
      </c>
      <c r="G54" s="212">
        <f t="shared" si="20"/>
        <v>19.085000000000001</v>
      </c>
      <c r="H54" s="516">
        <f t="shared" si="20"/>
        <v>1.474</v>
      </c>
      <c r="I54" s="516">
        <f t="shared" si="20"/>
        <v>5.4340000000000002</v>
      </c>
      <c r="J54" s="212">
        <f t="shared" si="20"/>
        <v>1.28</v>
      </c>
      <c r="K54" s="212">
        <f t="shared" si="20"/>
        <v>1.98</v>
      </c>
      <c r="L54" s="516">
        <f t="shared" si="20"/>
        <v>1.6930000000000001</v>
      </c>
      <c r="M54" s="516">
        <f t="shared" si="20"/>
        <v>6.71</v>
      </c>
      <c r="N54" s="212">
        <f t="shared" si="20"/>
        <v>1.51</v>
      </c>
      <c r="O54" s="212">
        <f t="shared" si="20"/>
        <v>4.6639999999999997</v>
      </c>
      <c r="P54" s="516">
        <f t="shared" si="20"/>
        <v>1.4550000000000001</v>
      </c>
      <c r="Q54" s="516">
        <f t="shared" si="20"/>
        <v>2.8050000000000002</v>
      </c>
      <c r="R54" s="212">
        <f t="shared" si="20"/>
        <v>1.7290000000000001</v>
      </c>
      <c r="S54" s="212">
        <f t="shared" si="20"/>
        <v>10.374000000000001</v>
      </c>
    </row>
    <row r="55" spans="2:19">
      <c r="B55" s="515" t="s">
        <v>1067</v>
      </c>
      <c r="C55" s="82" t="s">
        <v>291</v>
      </c>
      <c r="D55" s="502"/>
      <c r="E55" s="502"/>
      <c r="F55" s="212">
        <f t="shared" ref="F55:S55" si="21">(F24+F35)/1000</f>
        <v>22.300999999999998</v>
      </c>
      <c r="G55" s="212">
        <f t="shared" si="21"/>
        <v>22.300999999999998</v>
      </c>
      <c r="H55" s="516">
        <f t="shared" si="21"/>
        <v>20.39</v>
      </c>
      <c r="I55" s="516">
        <f t="shared" si="21"/>
        <v>20.39</v>
      </c>
      <c r="J55" s="212">
        <f t="shared" si="21"/>
        <v>17.39</v>
      </c>
      <c r="K55" s="212">
        <f t="shared" si="21"/>
        <v>17.39</v>
      </c>
      <c r="L55" s="516">
        <f t="shared" si="21"/>
        <v>21.213999999999999</v>
      </c>
      <c r="M55" s="516">
        <f t="shared" si="21"/>
        <v>21.213999999999999</v>
      </c>
      <c r="N55" s="212">
        <f t="shared" si="21"/>
        <v>17.417000000000002</v>
      </c>
      <c r="O55" s="212">
        <f t="shared" si="21"/>
        <v>17.417000000000002</v>
      </c>
      <c r="P55" s="516">
        <f t="shared" si="21"/>
        <v>19.702000000000002</v>
      </c>
      <c r="Q55" s="516">
        <f t="shared" si="21"/>
        <v>19.702000000000002</v>
      </c>
      <c r="R55" s="212">
        <f t="shared" si="21"/>
        <v>6.4589999999999996</v>
      </c>
      <c r="S55" s="212">
        <f t="shared" si="21"/>
        <v>6.4589999999999996</v>
      </c>
    </row>
    <row r="56" spans="2:19">
      <c r="B56" s="515" t="s">
        <v>1067</v>
      </c>
      <c r="C56" s="82" t="s">
        <v>295</v>
      </c>
      <c r="D56" s="502"/>
      <c r="E56" s="502"/>
      <c r="F56" s="212">
        <f t="shared" ref="F56:S56" si="22">(F25+F36)/1000</f>
        <v>24.19</v>
      </c>
      <c r="G56" s="212">
        <f t="shared" si="22"/>
        <v>24.19</v>
      </c>
      <c r="H56" s="516">
        <f t="shared" si="22"/>
        <v>21.73</v>
      </c>
      <c r="I56" s="516">
        <f t="shared" si="22"/>
        <v>21.73</v>
      </c>
      <c r="J56" s="212">
        <f t="shared" si="22"/>
        <v>27.161000000000001</v>
      </c>
      <c r="K56" s="212">
        <f t="shared" si="22"/>
        <v>27.161000000000001</v>
      </c>
      <c r="L56" s="516">
        <f t="shared" si="22"/>
        <v>29.954000000000001</v>
      </c>
      <c r="M56" s="516">
        <f t="shared" si="22"/>
        <v>29.954000000000001</v>
      </c>
      <c r="N56" s="212">
        <f t="shared" si="22"/>
        <v>27.529</v>
      </c>
      <c r="O56" s="212">
        <f t="shared" si="22"/>
        <v>27.529</v>
      </c>
      <c r="P56" s="516">
        <f t="shared" si="22"/>
        <v>33.997</v>
      </c>
      <c r="Q56" s="516">
        <f t="shared" si="22"/>
        <v>33.997</v>
      </c>
      <c r="R56" s="212">
        <f t="shared" si="22"/>
        <v>12.840999999999999</v>
      </c>
      <c r="S56" s="212">
        <f t="shared" si="22"/>
        <v>12.840999999999999</v>
      </c>
    </row>
    <row r="57" spans="2:19">
      <c r="B57" s="81" t="s">
        <v>1067</v>
      </c>
      <c r="C57" s="517" t="s">
        <v>27</v>
      </c>
      <c r="D57" s="502"/>
      <c r="E57" s="502"/>
      <c r="F57" s="212">
        <f>('Données Alimentaire'!F$14+'Données Alimentaire'!F$15+'Données Alimentaire'!F$16+'Données Alimentaire'!F$17+'Données Alimentaire'!F$18+'Données Alimentaire'!F$19+'Données Alimentaire'!F$20+'Données Alimentaire'!F$26+'Données Alimentaire'!F$27+'Données Alimentaire'!F$28+'Données Alimentaire'!F$29+'Données Alimentaire'!F$30+'Données Alimentaire'!F$31+'Données Alimentaire'!F$32)*0.001</f>
        <v>48.36</v>
      </c>
      <c r="G57" s="212">
        <f>('Données Alimentaire'!G$14+'Données Alimentaire'!G$15+'Données Alimentaire'!G$16+'Données Alimentaire'!G$17+'Données Alimentaire'!G$18+'Données Alimentaire'!G$19+'Données Alimentaire'!G$20+'Données Alimentaire'!G$26+'Données Alimentaire'!G$27+'Données Alimentaire'!G$28+'Données Alimentaire'!G$29+'Données Alimentaire'!G$30+'Données Alimentaire'!G$31+'Données Alimentaire'!G$32)*0.001</f>
        <v>628.69413400000008</v>
      </c>
      <c r="H57" s="516">
        <f>('Données Alimentaire'!H$14+'Données Alimentaire'!H$15+'Données Alimentaire'!H$16+'Données Alimentaire'!H$17+'Données Alimentaire'!H$18+'Données Alimentaire'!H$19+'Données Alimentaire'!H$20+'Données Alimentaire'!H$26+'Données Alimentaire'!H$27+'Données Alimentaire'!H$28+'Données Alimentaire'!H$29+'Données Alimentaire'!H$30+'Données Alimentaire'!H$31+'Données Alimentaire'!H$32)*0.001</f>
        <v>37.228999999999999</v>
      </c>
      <c r="I57" s="516">
        <f>('Données Alimentaire'!I$14+'Données Alimentaire'!I$15+'Données Alimentaire'!I$16+'Données Alimentaire'!I$17+'Données Alimentaire'!I$18+'Données Alimentaire'!I$19+'Données Alimentaire'!I$20+'Données Alimentaire'!I$26+'Données Alimentaire'!I$27+'Données Alimentaire'!I$28+'Données Alimentaire'!I$29+'Données Alimentaire'!I$30+'Données Alimentaire'!I$31+'Données Alimentaire'!I$32)*0.001</f>
        <v>475.92379000000005</v>
      </c>
      <c r="J57" s="212">
        <f>('Données Alimentaire'!J$14+'Données Alimentaire'!J$15+'Données Alimentaire'!J$16+'Données Alimentaire'!J$17+'Données Alimentaire'!J$18+'Données Alimentaire'!J$19+'Données Alimentaire'!J$20+'Données Alimentaire'!J$26+'Données Alimentaire'!J$27+'Données Alimentaire'!J$28+'Données Alimentaire'!J$29+'Données Alimentaire'!J$30+'Données Alimentaire'!J$31+'Données Alimentaire'!J$32)*0.001</f>
        <v>40.167999999999999</v>
      </c>
      <c r="K57" s="212">
        <f>('Données Alimentaire'!K$14+'Données Alimentaire'!K$15+'Données Alimentaire'!K$16+'Données Alimentaire'!K$17+'Données Alimentaire'!K$18+'Données Alimentaire'!K$19+'Données Alimentaire'!K$20+'Données Alimentaire'!K$26+'Données Alimentaire'!K$27+'Données Alimentaire'!K$28+'Données Alimentaire'!K$29+'Données Alimentaire'!K$30+'Données Alimentaire'!K$31+'Données Alimentaire'!K$32)*0.001</f>
        <v>510.92471999999998</v>
      </c>
      <c r="L57" s="516">
        <f>('Données Alimentaire'!L$14+'Données Alimentaire'!L$15+'Données Alimentaire'!L$16+'Données Alimentaire'!L$17+'Données Alimentaire'!L$18+'Données Alimentaire'!L$19+'Données Alimentaire'!L$20+'Données Alimentaire'!L$26+'Données Alimentaire'!L$27+'Données Alimentaire'!L$28+'Données Alimentaire'!L$29+'Données Alimentaire'!L$30+'Données Alimentaire'!L$31+'Données Alimentaire'!L$32)*0.001</f>
        <v>42.84</v>
      </c>
      <c r="M57" s="516">
        <f>('Données Alimentaire'!M$14+'Données Alimentaire'!M$15+'Données Alimentaire'!M$16+'Données Alimentaire'!M$17+'Données Alimentaire'!M$18+'Données Alimentaire'!M$19+'Données Alimentaire'!M$20+'Données Alimentaire'!M$26+'Données Alimentaire'!M$27+'Données Alimentaire'!M$28+'Données Alimentaire'!M$29+'Données Alimentaire'!M$30+'Données Alimentaire'!M$31+'Données Alimentaire'!M$32)*0.001</f>
        <v>518.55461000000003</v>
      </c>
      <c r="N57" s="212">
        <f>('Données Alimentaire'!N$14+'Données Alimentaire'!N$15+'Données Alimentaire'!N$16+'Données Alimentaire'!N$17+'Données Alimentaire'!N$18+'Données Alimentaire'!N$19+'Données Alimentaire'!N$20+'Données Alimentaire'!N$26+'Données Alimentaire'!N$27+'Données Alimentaire'!N$28+'Données Alimentaire'!N$29+'Données Alimentaire'!N$30+'Données Alimentaire'!N$31+'Données Alimentaire'!N$32)*0.001</f>
        <v>41.892000000000003</v>
      </c>
      <c r="O57" s="212">
        <f>('Données Alimentaire'!O$14+'Données Alimentaire'!O$15+'Données Alimentaire'!O$16+'Données Alimentaire'!O$17+'Données Alimentaire'!O$18+'Données Alimentaire'!O$19+'Données Alimentaire'!O$20+'Données Alimentaire'!O$26+'Données Alimentaire'!O$27+'Données Alimentaire'!O$28+'Données Alimentaire'!O$29+'Données Alimentaire'!O$30+'Données Alimentaire'!O$31+'Données Alimentaire'!O$32)*0.001</f>
        <v>550.94590000000005</v>
      </c>
      <c r="P57" s="516">
        <f>('Données Alimentaire'!P$14+'Données Alimentaire'!P$15+'Données Alimentaire'!P$16+'Données Alimentaire'!P$17+'Données Alimentaire'!P$18+'Données Alimentaire'!P$19+'Données Alimentaire'!P$20+'Données Alimentaire'!P$26+'Données Alimentaire'!P$27+'Données Alimentaire'!P$28+'Données Alimentaire'!P$29+'Données Alimentaire'!P$30+'Données Alimentaire'!P$31+'Données Alimentaire'!P$32)*0.001</f>
        <v>35.96</v>
      </c>
      <c r="Q57" s="516">
        <f>('Données Alimentaire'!Q$14+'Données Alimentaire'!Q$15+'Données Alimentaire'!Q$16+'Données Alimentaire'!Q$17+'Données Alimentaire'!Q$18+'Données Alimentaire'!Q$19+'Données Alimentaire'!Q$20+'Données Alimentaire'!Q$26+'Données Alimentaire'!Q$27+'Données Alimentaire'!Q$28+'Données Alimentaire'!Q$29+'Données Alimentaire'!Q$30+'Données Alimentaire'!Q$31+'Données Alimentaire'!Q$32)*0.001</f>
        <v>435.63565</v>
      </c>
      <c r="R57" s="212">
        <f>('Données Alimentaire'!R$14+'Données Alimentaire'!R$15+'Données Alimentaire'!R$16+'Données Alimentaire'!R$17+'Données Alimentaire'!R$18+'Données Alimentaire'!R$19+'Données Alimentaire'!R$20+'Données Alimentaire'!R$26+'Données Alimentaire'!R$27+'Données Alimentaire'!R$28+'Données Alimentaire'!R$29+'Données Alimentaire'!R$30+'Données Alimentaire'!R$31+'Données Alimentaire'!R$32)*0.001</f>
        <v>14.923</v>
      </c>
      <c r="S57" s="212">
        <f>('Données Alimentaire'!S$14+'Données Alimentaire'!S$15+'Données Alimentaire'!S$16+'Données Alimentaire'!S$17+'Données Alimentaire'!S$18+'Données Alimentaire'!S$19+'Données Alimentaire'!S$20+'Données Alimentaire'!S$26+'Données Alimentaire'!S$27+'Données Alimentaire'!S$28+'Données Alimentaire'!S$29+'Données Alimentaire'!S$30+'Données Alimentaire'!S$31+'Données Alimentaire'!S$32)*0.001</f>
        <v>195.37800000000001</v>
      </c>
    </row>
    <row r="58" spans="2:19">
      <c r="B58" s="81" t="s">
        <v>1067</v>
      </c>
      <c r="C58" s="517" t="s">
        <v>3</v>
      </c>
      <c r="D58" s="502"/>
      <c r="E58" s="502"/>
      <c r="F58" s="212">
        <f>0.001*('Données Alimentaire'!F$39+F40+F42+F43+'Données Alimentaire'!F$44)</f>
        <v>86.350000000000009</v>
      </c>
      <c r="G58" s="212">
        <f>0.001*('Données Alimentaire'!G$39+G40+G42+G43+'Données Alimentaire'!G$44)</f>
        <v>317.63394999999997</v>
      </c>
      <c r="H58" s="516">
        <f>0.001*('Données Alimentaire'!H$39+H40+H42+H43+'Données Alimentaire'!H$44)</f>
        <v>84.734999999999999</v>
      </c>
      <c r="I58" s="516">
        <f>0.001*('Données Alimentaire'!I$39+I40+I42+I43+'Données Alimentaire'!I$44)</f>
        <v>307.67379000000005</v>
      </c>
      <c r="J58" s="212">
        <f>0.001*('Données Alimentaire'!J$39+J40+J42+J43+'Données Alimentaire'!J$44)</f>
        <v>65.853999999999999</v>
      </c>
      <c r="K58" s="212">
        <f>0.001*('Données Alimentaire'!K$39+K40+K42+K43+'Données Alimentaire'!K$44)</f>
        <v>241.74489000000003</v>
      </c>
      <c r="L58" s="516">
        <f>0.001*('Données Alimentaire'!L$39+L40+L42+L43+'Données Alimentaire'!L$44)</f>
        <v>71.153999999999996</v>
      </c>
      <c r="M58" s="516">
        <f>0.001*('Données Alimentaire'!M$39+M40+M42+M43+'Données Alimentaire'!M$44)</f>
        <v>268.26582000000002</v>
      </c>
      <c r="N58" s="212">
        <f>0.001*('Données Alimentaire'!N$39+N40+N42+N43+'Données Alimentaire'!N$44)</f>
        <v>76.275000000000006</v>
      </c>
      <c r="O58" s="212">
        <f>0.001*('Données Alimentaire'!O$39+O40+O42+O43+'Données Alimentaire'!O$44)</f>
        <v>285.14919000000003</v>
      </c>
      <c r="P58" s="516">
        <f>0.001*('Données Alimentaire'!P$39+P40+P42+P43+'Données Alimentaire'!P$44)</f>
        <v>73.680000000000007</v>
      </c>
      <c r="Q58" s="516">
        <f>0.001*('Données Alimentaire'!Q$39+Q40+Q42+Q43+'Données Alimentaire'!Q$44)</f>
        <v>288.08575000000002</v>
      </c>
      <c r="R58" s="212">
        <f>0.001*('Données Alimentaire'!R$39+R40+R42+R43+'Données Alimentaire'!R$44)</f>
        <v>30.071000000000002</v>
      </c>
      <c r="S58" s="212">
        <f>0.001*('Données Alimentaire'!S$39+S40+S42+S43+'Données Alimentaire'!S$44)</f>
        <v>129.67449999999999</v>
      </c>
    </row>
    <row r="59" spans="2:19">
      <c r="B59" s="81" t="s">
        <v>1067</v>
      </c>
      <c r="C59" s="517" t="s">
        <v>4</v>
      </c>
      <c r="D59" s="502"/>
      <c r="E59" s="502"/>
      <c r="F59" s="212">
        <f>0.001*('Données Alimentaire'!F$24+'Données Alimentaire'!F$25+'Données Alimentaire'!F$35+'Données Alimentaire'!F$36+'Données Alimentaire'!F$22)</f>
        <v>116.491</v>
      </c>
      <c r="G59" s="212">
        <f>0.001*('Données Alimentaire'!G$24+'Données Alimentaire'!G$25+'Données Alimentaire'!G$35+'Données Alimentaire'!G$36+'Données Alimentaire'!G$22)</f>
        <v>116.491</v>
      </c>
      <c r="H59" s="516">
        <f>0.001*('Données Alimentaire'!H$24+'Données Alimentaire'!H$25+'Données Alimentaire'!H$35+'Données Alimentaire'!H$36+'Données Alimentaire'!H$22)</f>
        <v>115.54900000000001</v>
      </c>
      <c r="I59" s="516">
        <f>0.001*('Données Alimentaire'!I$24+'Données Alimentaire'!I$25+'Données Alimentaire'!I$35+'Données Alimentaire'!I$36+'Données Alimentaire'!I$22)</f>
        <v>115.54900000000001</v>
      </c>
      <c r="J59" s="212">
        <f>0.001*('Données Alimentaire'!J$24+'Données Alimentaire'!J$25+'Données Alimentaire'!J$35+'Données Alimentaire'!J$36+'Données Alimentaire'!J$22)</f>
        <v>117.152</v>
      </c>
      <c r="K59" s="212">
        <f>0.001*('Données Alimentaire'!K$24+'Données Alimentaire'!K$25+'Données Alimentaire'!K$35+'Données Alimentaire'!K$36+'Données Alimentaire'!K$22)</f>
        <v>117.152</v>
      </c>
      <c r="L59" s="516">
        <f>0.001*('Données Alimentaire'!L$24+'Données Alimentaire'!L$25+'Données Alimentaire'!L$35+'Données Alimentaire'!L$36+'Données Alimentaire'!L$22)</f>
        <v>111.47</v>
      </c>
      <c r="M59" s="516">
        <f>0.001*('Données Alimentaire'!M$24+'Données Alimentaire'!M$25+'Données Alimentaire'!M$35+'Données Alimentaire'!M$36+'Données Alimentaire'!M$22)</f>
        <v>111.47</v>
      </c>
      <c r="N59" s="212">
        <f>0.001*('Données Alimentaire'!N$24+'Données Alimentaire'!N$25+'Données Alimentaire'!N$35+'Données Alimentaire'!N$36+'Données Alimentaire'!N$22)</f>
        <v>98.665000000000006</v>
      </c>
      <c r="O59" s="212">
        <f>0.001*('Données Alimentaire'!O$24+'Données Alimentaire'!O$25+'Données Alimentaire'!O$35+'Données Alimentaire'!O$36+'Données Alimentaire'!O$22)</f>
        <v>98.665000000000006</v>
      </c>
      <c r="P59" s="516">
        <f>0.001*('Données Alimentaire'!P$24+'Données Alimentaire'!P$25+'Données Alimentaire'!P$35+'Données Alimentaire'!P$36+'Données Alimentaire'!P$22)</f>
        <v>109.46900000000001</v>
      </c>
      <c r="Q59" s="516">
        <f>0.001*('Données Alimentaire'!Q$24+'Données Alimentaire'!Q$25+'Données Alimentaire'!Q$35+'Données Alimentaire'!Q$36+'Données Alimentaire'!Q$22)</f>
        <v>109.46900000000001</v>
      </c>
      <c r="R59" s="212">
        <f>0.001*('Données Alimentaire'!R$24+'Données Alimentaire'!R$25+'Données Alimentaire'!R$35+'Données Alimentaire'!R$36+'Données Alimentaire'!R$22)</f>
        <v>41.661999999999999</v>
      </c>
      <c r="S59" s="212">
        <f>0.001*('Données Alimentaire'!S$24+'Données Alimentaire'!S$25+'Données Alimentaire'!S$35+'Données Alimentaire'!S$36+'Données Alimentaire'!S$22)</f>
        <v>41.661999999999999</v>
      </c>
    </row>
    <row r="60" spans="2:19">
      <c r="B60" s="81" t="s">
        <v>1067</v>
      </c>
      <c r="C60" s="517" t="s">
        <v>28</v>
      </c>
      <c r="D60" s="502"/>
      <c r="E60" s="502"/>
      <c r="F60" s="212">
        <f>0.001*('Données Alimentaire'!F$21+'Données Alimentaire'!F$23+'Données Alimentaire'!F$33+'Données Alimentaire'!F$34)</f>
        <v>27.32</v>
      </c>
      <c r="G60" s="212">
        <f>0.001*('Données Alimentaire'!G$21+'Données Alimentaire'!G$23+'Données Alimentaire'!G$33+'Données Alimentaire'!G$34)</f>
        <v>125.98460000000001</v>
      </c>
      <c r="H60" s="516">
        <f>0.001*('Données Alimentaire'!H$21+'Données Alimentaire'!H$23+'Données Alimentaire'!H$33+'Données Alimentaire'!H$34)</f>
        <v>20.501999999999999</v>
      </c>
      <c r="I60" s="516">
        <f>0.001*('Données Alimentaire'!I$21+'Données Alimentaire'!I$23+'Données Alimentaire'!I$33+'Données Alimentaire'!I$34)</f>
        <v>94.181600000000003</v>
      </c>
      <c r="J60" s="212">
        <f>0.001*('Données Alimentaire'!J$21+'Données Alimentaire'!J$23+'Données Alimentaire'!J$33+'Données Alimentaire'!J$34)</f>
        <v>18.108000000000001</v>
      </c>
      <c r="K60" s="212">
        <f>0.001*('Données Alimentaire'!K$21+'Données Alimentaire'!K$23+'Données Alimentaire'!K$33+'Données Alimentaire'!K$34)</f>
        <v>83.485199999999992</v>
      </c>
      <c r="L60" s="516">
        <f>0.001*('Données Alimentaire'!L$21+'Données Alimentaire'!L$23+'Données Alimentaire'!L$33+'Données Alimentaire'!L$34)</f>
        <v>18.863</v>
      </c>
      <c r="M60" s="516">
        <f>0.001*('Données Alimentaire'!M$21+'Données Alimentaire'!M$23+'Données Alimentaire'!M$33+'Données Alimentaire'!M$34)</f>
        <v>87.61760000000001</v>
      </c>
      <c r="N60" s="212">
        <f>0.001*('Données Alimentaire'!N$21+'Données Alimentaire'!N$23+'Données Alimentaire'!N$33+'Données Alimentaire'!N$34)</f>
        <v>17.690999999999999</v>
      </c>
      <c r="O60" s="212">
        <f>0.001*('Données Alimentaire'!O$21+'Données Alimentaire'!O$23+'Données Alimentaire'!O$33+'Données Alimentaire'!O$34)</f>
        <v>83.270200000000003</v>
      </c>
      <c r="P60" s="516">
        <f>0.001*('Données Alimentaire'!P$21+'Données Alimentaire'!P$23+'Données Alimentaire'!P$33+'Données Alimentaire'!P$34)</f>
        <v>18.033000000000001</v>
      </c>
      <c r="Q60" s="516">
        <f>0.001*('Données Alimentaire'!Q$21+'Données Alimentaire'!Q$23+'Données Alimentaire'!Q$33+'Données Alimentaire'!Q$34)</f>
        <v>84.3947</v>
      </c>
      <c r="R60" s="212">
        <f>0.001*('Données Alimentaire'!R$21+'Données Alimentaire'!R$23+'Données Alimentaire'!R$33+'Données Alimentaire'!R$34)</f>
        <v>9.7605900000000005</v>
      </c>
      <c r="S60" s="212">
        <f>0.001*('Données Alimentaire'!S$21+'Données Alimentaire'!S$23+'Données Alimentaire'!S$33+'Données Alimentaire'!S$34)</f>
        <v>56.84254</v>
      </c>
    </row>
    <row r="61" spans="2:19">
      <c r="B61" s="81" t="s">
        <v>1067</v>
      </c>
      <c r="C61" s="517" t="s">
        <v>35</v>
      </c>
      <c r="D61" s="502"/>
      <c r="E61" s="502"/>
      <c r="F61" s="212">
        <f>0.001*('Données Alimentaire'!F$37+'Données Alimentaire'!F$38+'Données Alimentaire'!F$45+'Données Alimentaire'!F$46+F41)</f>
        <v>88.5</v>
      </c>
      <c r="G61" s="212">
        <f>0.001*('Données Alimentaire'!G$37+'Données Alimentaire'!G$38+'Données Alimentaire'!G$45+'Données Alimentaire'!G$46+G41)</f>
        <v>77.110399999999998</v>
      </c>
      <c r="H61" s="516">
        <f>0.001*('Données Alimentaire'!H$37+'Données Alimentaire'!H$38+'Données Alimentaire'!H$45+'Données Alimentaire'!H$46+H41)</f>
        <v>77.304000000000002</v>
      </c>
      <c r="I61" s="516">
        <f>0.001*('Données Alimentaire'!I$37+'Données Alimentaire'!I$38+'Données Alimentaire'!I$45+'Données Alimentaire'!I$46+I41)</f>
        <v>62.647199999999998</v>
      </c>
      <c r="J61" s="212">
        <f>0.001*('Données Alimentaire'!J$37+'Données Alimentaire'!J$38+'Données Alimentaire'!J$45+'Données Alimentaire'!J$46+J41)</f>
        <v>78.674999999999997</v>
      </c>
      <c r="K61" s="212">
        <f>0.001*('Données Alimentaire'!K$37+'Données Alimentaire'!K$38+'Données Alimentaire'!K$45+'Données Alimentaire'!K$46+K41)</f>
        <v>64.222499999999997</v>
      </c>
      <c r="L61" s="516">
        <f>0.001*('Données Alimentaire'!L$37+'Données Alimentaire'!L$38+'Données Alimentaire'!L$45+'Données Alimentaire'!L$46+L41)</f>
        <v>83.491</v>
      </c>
      <c r="M61" s="516">
        <f>0.001*('Données Alimentaire'!M$37+'Données Alimentaire'!M$38+'Données Alimentaire'!M$45+'Données Alimentaire'!M$46+M41)</f>
        <v>69.203100000000006</v>
      </c>
      <c r="N61" s="212">
        <f>0.001*('Données Alimentaire'!N$37+'Données Alimentaire'!N$38+'Données Alimentaire'!N$45+'Données Alimentaire'!N$46+N41)</f>
        <v>66.486000000000004</v>
      </c>
      <c r="O61" s="212">
        <f>0.001*('Données Alimentaire'!O$37+'Données Alimentaire'!O$38+'Données Alimentaire'!O$45+'Données Alimentaire'!O$46+O41)</f>
        <v>57.7622</v>
      </c>
      <c r="P61" s="516">
        <f>0.001*('Données Alimentaire'!P$37+'Données Alimentaire'!P$38+'Données Alimentaire'!P$45+'Données Alimentaire'!P$46+P41)</f>
        <v>62.117000000000004</v>
      </c>
      <c r="Q61" s="516">
        <f>0.001*('Données Alimentaire'!Q$37+'Données Alimentaire'!Q$38+'Données Alimentaire'!Q$45+'Données Alimentaire'!Q$46+Q41)</f>
        <v>54.959699999999998</v>
      </c>
      <c r="R61" s="212">
        <f>0.001*('Données Alimentaire'!R$37+'Données Alimentaire'!R$38+'Données Alimentaire'!R$45+'Données Alimentaire'!R$46+R41)</f>
        <v>27.733000000000001</v>
      </c>
      <c r="S61" s="212">
        <f>0.001*('Données Alimentaire'!S$37+'Données Alimentaire'!S$38+'Données Alimentaire'!S$45+'Données Alimentaire'!S$46+S41)</f>
        <v>30.669119999999999</v>
      </c>
    </row>
    <row r="62" spans="2:19">
      <c r="B62" s="161" t="s">
        <v>36</v>
      </c>
      <c r="C62" s="161" t="s">
        <v>36</v>
      </c>
      <c r="D62" s="504"/>
      <c r="E62" s="504"/>
      <c r="F62" s="505">
        <f>SUM(F57:F61)</f>
        <v>367.02100000000002</v>
      </c>
      <c r="G62" s="505">
        <f t="shared" ref="G62:S62" si="23">SUM(G57:G61)</f>
        <v>1265.914084</v>
      </c>
      <c r="H62" s="505">
        <f t="shared" si="23"/>
        <v>335.31899999999996</v>
      </c>
      <c r="I62" s="505">
        <f t="shared" si="23"/>
        <v>1055.9753800000001</v>
      </c>
      <c r="J62" s="505">
        <f t="shared" si="23"/>
        <v>319.95699999999999</v>
      </c>
      <c r="K62" s="505">
        <f t="shared" si="23"/>
        <v>1017.52931</v>
      </c>
      <c r="L62" s="505">
        <f t="shared" si="23"/>
        <v>327.81799999999998</v>
      </c>
      <c r="M62" s="505">
        <f t="shared" si="23"/>
        <v>1055.11113</v>
      </c>
      <c r="N62" s="505">
        <f t="shared" si="23"/>
        <v>301.00900000000001</v>
      </c>
      <c r="O62" s="505">
        <f t="shared" si="23"/>
        <v>1075.79249</v>
      </c>
      <c r="P62" s="505">
        <f t="shared" si="23"/>
        <v>299.25900000000007</v>
      </c>
      <c r="Q62" s="505">
        <f t="shared" si="23"/>
        <v>972.54480000000001</v>
      </c>
      <c r="R62" s="505">
        <f t="shared" si="23"/>
        <v>124.14959000000002</v>
      </c>
      <c r="S62" s="505">
        <f t="shared" si="23"/>
        <v>454.22615999999999</v>
      </c>
    </row>
    <row r="63" spans="2:19" ht="14.4" customHeight="1"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</row>
    <row r="64" spans="2:19" ht="14.4" customHeight="1">
      <c r="Q64"/>
      <c r="R64"/>
    </row>
    <row r="65" spans="1:18" ht="14.4" customHeight="1">
      <c r="Q65"/>
      <c r="R65"/>
    </row>
    <row r="66" spans="1:18" ht="14.4" customHeight="1">
      <c r="A66" s="207"/>
      <c r="Q66"/>
      <c r="R66"/>
    </row>
    <row r="67" spans="1:18" ht="14.4" customHeight="1">
      <c r="Q67"/>
      <c r="R67"/>
    </row>
    <row r="68" spans="1:18" ht="14.4" customHeight="1">
      <c r="Q68"/>
      <c r="R68"/>
    </row>
    <row r="69" spans="1:18" ht="14.4" customHeight="1">
      <c r="Q69"/>
      <c r="R69"/>
    </row>
    <row r="70" spans="1:18" ht="14.4" customHeight="1">
      <c r="Q70"/>
      <c r="R70"/>
    </row>
    <row r="71" spans="1:18" ht="14.4" customHeight="1">
      <c r="Q71"/>
      <c r="R71"/>
    </row>
    <row r="72" spans="1:18" ht="14.4" customHeight="1">
      <c r="Q72"/>
      <c r="R72"/>
    </row>
    <row r="73" spans="1:18" ht="14.4" customHeight="1">
      <c r="Q73"/>
      <c r="R73"/>
    </row>
    <row r="74" spans="1:18" ht="14.4" customHeight="1">
      <c r="Q74"/>
      <c r="R74"/>
    </row>
    <row r="75" spans="1:18" ht="14.4" customHeight="1">
      <c r="Q75"/>
      <c r="R75"/>
    </row>
    <row r="76" spans="1:18" ht="14.4" customHeight="1">
      <c r="Q76"/>
      <c r="R76"/>
    </row>
    <row r="77" spans="1:18" ht="14.4" customHeight="1">
      <c r="Q77"/>
      <c r="R77"/>
    </row>
    <row r="78" spans="1:18">
      <c r="Q78"/>
      <c r="R78"/>
    </row>
    <row r="79" spans="1:18">
      <c r="Q79"/>
      <c r="R79"/>
    </row>
    <row r="80" spans="1:18">
      <c r="Q80"/>
      <c r="R80"/>
    </row>
    <row r="81" spans="17:18">
      <c r="Q81"/>
      <c r="R81"/>
    </row>
    <row r="82" spans="17:18">
      <c r="Q82"/>
      <c r="R82"/>
    </row>
    <row r="83" spans="17:18">
      <c r="Q83"/>
      <c r="R83"/>
    </row>
    <row r="84" spans="17:18">
      <c r="Q84"/>
      <c r="R84"/>
    </row>
    <row r="85" spans="17:18">
      <c r="Q85"/>
      <c r="R85"/>
    </row>
    <row r="86" spans="17:18">
      <c r="Q86"/>
      <c r="R86"/>
    </row>
    <row r="87" spans="17:18">
      <c r="Q87"/>
      <c r="R87"/>
    </row>
    <row r="88" spans="17:18">
      <c r="Q88"/>
      <c r="R88"/>
    </row>
    <row r="89" spans="17:18">
      <c r="Q89"/>
      <c r="R89"/>
    </row>
    <row r="90" spans="17:18">
      <c r="Q90"/>
      <c r="R90"/>
    </row>
    <row r="91" spans="17:18">
      <c r="Q91"/>
      <c r="R91"/>
    </row>
    <row r="92" spans="17:18">
      <c r="Q92"/>
      <c r="R92"/>
    </row>
    <row r="93" spans="17:18">
      <c r="Q93"/>
      <c r="R93"/>
    </row>
    <row r="94" spans="17:18">
      <c r="Q94"/>
      <c r="R94"/>
    </row>
    <row r="95" spans="17:18">
      <c r="Q95"/>
      <c r="R95"/>
    </row>
    <row r="96" spans="17:18">
      <c r="Q96"/>
      <c r="R96"/>
    </row>
    <row r="97" spans="17:18">
      <c r="Q97"/>
      <c r="R97"/>
    </row>
    <row r="98" spans="17:18">
      <c r="Q98"/>
      <c r="R98"/>
    </row>
    <row r="99" spans="17:18">
      <c r="Q99"/>
      <c r="R99"/>
    </row>
    <row r="100" spans="17:18">
      <c r="Q100"/>
      <c r="R100"/>
    </row>
    <row r="101" spans="17:18">
      <c r="Q101"/>
      <c r="R101"/>
    </row>
    <row r="102" spans="17:18">
      <c r="Q102"/>
      <c r="R102"/>
    </row>
    <row r="103" spans="17:18">
      <c r="Q103"/>
      <c r="R103"/>
    </row>
    <row r="104" spans="17:18">
      <c r="Q104"/>
      <c r="R104"/>
    </row>
    <row r="105" spans="17:18">
      <c r="Q105"/>
      <c r="R105"/>
    </row>
    <row r="106" spans="17:18">
      <c r="Q106"/>
      <c r="R106"/>
    </row>
    <row r="107" spans="17:18">
      <c r="Q107"/>
      <c r="R107"/>
    </row>
    <row r="108" spans="17:18">
      <c r="Q108"/>
      <c r="R108"/>
    </row>
    <row r="109" spans="17:18">
      <c r="Q109"/>
      <c r="R109"/>
    </row>
    <row r="110" spans="17:18">
      <c r="Q110"/>
      <c r="R110"/>
    </row>
    <row r="111" spans="17:18">
      <c r="Q111"/>
      <c r="R111"/>
    </row>
    <row r="112" spans="17:18">
      <c r="Q112"/>
      <c r="R112"/>
    </row>
    <row r="113" spans="17:18">
      <c r="Q113"/>
      <c r="R113"/>
    </row>
    <row r="114" spans="17:18">
      <c r="Q114"/>
      <c r="R114"/>
    </row>
    <row r="115" spans="17:18">
      <c r="Q115"/>
      <c r="R115"/>
    </row>
    <row r="116" spans="17:18">
      <c r="Q116"/>
      <c r="R116"/>
    </row>
    <row r="117" spans="17:18">
      <c r="Q117"/>
      <c r="R117"/>
    </row>
    <row r="118" spans="17:18">
      <c r="Q118"/>
      <c r="R118"/>
    </row>
    <row r="119" spans="17:18">
      <c r="Q119"/>
      <c r="R119"/>
    </row>
    <row r="120" spans="17:18">
      <c r="Q120"/>
      <c r="R120"/>
    </row>
    <row r="121" spans="17:18">
      <c r="Q121"/>
      <c r="R121"/>
    </row>
    <row r="122" spans="17:18">
      <c r="Q122"/>
      <c r="R122"/>
    </row>
    <row r="123" spans="17:18">
      <c r="Q123"/>
      <c r="R123"/>
    </row>
    <row r="124" spans="17:18">
      <c r="Q124"/>
      <c r="R124"/>
    </row>
    <row r="125" spans="17:18">
      <c r="Q125"/>
      <c r="R125"/>
    </row>
    <row r="132" spans="5:5">
      <c r="E132" s="84"/>
    </row>
  </sheetData>
  <autoFilter ref="B13:Q46" xr:uid="{00000000-0009-0000-0000-000000000000}"/>
  <mergeCells count="9">
    <mergeCell ref="P12:Q12"/>
    <mergeCell ref="R12:S12"/>
    <mergeCell ref="F12:G12"/>
    <mergeCell ref="B47:E47"/>
    <mergeCell ref="B10:R10"/>
    <mergeCell ref="H12:I12"/>
    <mergeCell ref="J12:K12"/>
    <mergeCell ref="L12:M12"/>
    <mergeCell ref="N12:O12"/>
  </mergeCells>
  <conditionalFormatting sqref="M68:M72 I68:I72 E68:E72 G68:G72 K68:K72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{5E309627-E4B1-8F48-A47B-D7BB2B648F1D}</x14:id>
        </ext>
      </extLst>
    </cfRule>
  </conditionalFormatting>
  <conditionalFormatting sqref="O68:O72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{452E94BD-7F44-4D9C-9C09-B257CE4BB6D7}</x14:id>
        </ext>
      </extLst>
    </cfRule>
  </conditionalFormatting>
  <conditionalFormatting sqref="P68:P72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{1CEA439A-9BF0-4287-8F07-5DE9B27DFDB3}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309627-E4B1-8F48-A47B-D7BB2B648F1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M68:M72 I68:I72 E68:E72 G68:G72 K68:K72</xm:sqref>
        </x14:conditionalFormatting>
        <x14:conditionalFormatting xmlns:xm="http://schemas.microsoft.com/office/excel/2006/main">
          <x14:cfRule type="dataBar" id="{452E94BD-7F44-4D9C-9C09-B257CE4BB6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O68:O72</xm:sqref>
        </x14:conditionalFormatting>
        <x14:conditionalFormatting xmlns:xm="http://schemas.microsoft.com/office/excel/2006/main">
          <x14:cfRule type="dataBar" id="{1CEA439A-9BF0-4287-8F07-5DE9B27DFD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P68:P72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33D53-3965-48BC-A622-FFEBE6BA89B2}">
  <sheetPr>
    <tabColor theme="7"/>
  </sheetPr>
  <dimension ref="B3:P27"/>
  <sheetViews>
    <sheetView showGridLines="0" tabSelected="1" topLeftCell="A9" zoomScale="85" zoomScaleNormal="85" workbookViewId="0">
      <selection activeCell="B15" sqref="B15"/>
    </sheetView>
  </sheetViews>
  <sheetFormatPr baseColWidth="10" defaultRowHeight="14.4"/>
  <cols>
    <col min="2" max="2" width="30" customWidth="1"/>
    <col min="12" max="12" width="17.5546875" customWidth="1"/>
    <col min="13" max="13" width="13" bestFit="1" customWidth="1"/>
    <col min="14" max="14" width="17.21875" customWidth="1"/>
  </cols>
  <sheetData>
    <row r="3" spans="2:16">
      <c r="B3" s="459" t="s">
        <v>949</v>
      </c>
      <c r="C3" s="459">
        <v>2014</v>
      </c>
      <c r="D3" s="459">
        <v>2015</v>
      </c>
      <c r="E3" s="459">
        <v>2016</v>
      </c>
      <c r="F3" s="459">
        <v>2017</v>
      </c>
      <c r="G3" s="459">
        <v>2018</v>
      </c>
      <c r="H3" s="459">
        <v>2019</v>
      </c>
      <c r="I3" s="459">
        <v>2020</v>
      </c>
    </row>
    <row r="4" spans="2:16">
      <c r="B4" s="459" t="s">
        <v>37</v>
      </c>
      <c r="C4" s="513">
        <v>802380</v>
      </c>
      <c r="D4" s="513">
        <v>744054</v>
      </c>
      <c r="E4" s="513">
        <v>724508</v>
      </c>
      <c r="F4" s="513">
        <v>786890</v>
      </c>
      <c r="G4" s="513">
        <v>742925</v>
      </c>
      <c r="H4" s="513">
        <v>746283</v>
      </c>
      <c r="I4" s="513">
        <v>349002</v>
      </c>
    </row>
    <row r="5" spans="2:16">
      <c r="B5" s="459" t="s">
        <v>811</v>
      </c>
      <c r="C5" s="513">
        <v>6483</v>
      </c>
      <c r="D5" s="513">
        <v>6848</v>
      </c>
      <c r="E5" s="513">
        <v>6818</v>
      </c>
      <c r="F5" s="513">
        <v>7747</v>
      </c>
      <c r="G5" s="513">
        <v>8137</v>
      </c>
      <c r="H5" s="513">
        <v>8478</v>
      </c>
      <c r="I5" s="513"/>
      <c r="L5" s="512">
        <v>2019</v>
      </c>
    </row>
    <row r="6" spans="2:16">
      <c r="B6" s="459" t="s">
        <v>34</v>
      </c>
      <c r="C6" s="513">
        <f>'Données Alimentaire'!F62</f>
        <v>367.02100000000002</v>
      </c>
      <c r="D6" s="513">
        <f>'Données Alimentaire'!H62</f>
        <v>335.31899999999996</v>
      </c>
      <c r="E6" s="513">
        <f>'Données Alimentaire'!J62</f>
        <v>319.95699999999999</v>
      </c>
      <c r="F6" s="513">
        <f>'Données Alimentaire'!L62</f>
        <v>327.81799999999998</v>
      </c>
      <c r="G6" s="513">
        <f>'Données Alimentaire'!N62</f>
        <v>301.00900000000001</v>
      </c>
      <c r="H6" s="513">
        <f>'Données Alimentaire'!P62</f>
        <v>299.25900000000007</v>
      </c>
      <c r="I6" s="513">
        <f>'Données Alimentaire'!R62</f>
        <v>124.14959000000002</v>
      </c>
      <c r="L6" s="575"/>
      <c r="M6" s="577" t="s">
        <v>1120</v>
      </c>
      <c r="N6" s="577" t="s">
        <v>1073</v>
      </c>
      <c r="O6" s="577" t="s">
        <v>1121</v>
      </c>
      <c r="P6" s="577" t="s">
        <v>1122</v>
      </c>
    </row>
    <row r="7" spans="2:16">
      <c r="B7" s="459" t="s">
        <v>927</v>
      </c>
      <c r="C7" s="513">
        <v>1432.7898399999999</v>
      </c>
      <c r="D7" s="513">
        <v>968.86246999999992</v>
      </c>
      <c r="E7" s="513">
        <v>976.54267160000006</v>
      </c>
      <c r="F7" s="513">
        <v>1211.8791500000002</v>
      </c>
      <c r="G7" s="513">
        <v>1249.2894900000001</v>
      </c>
      <c r="H7" s="513">
        <v>1214.0103899999999</v>
      </c>
      <c r="I7" s="513">
        <v>453.68108000000001</v>
      </c>
      <c r="L7" s="507" t="s">
        <v>27</v>
      </c>
      <c r="M7" s="513" cm="1">
        <f t="array" ref="M7">INDEX('Données Alimentaire'!$F$57:$S$62,1,('Bilan Alimentaire'!$L$5-2013)*2-1)</f>
        <v>35.96</v>
      </c>
      <c r="N7" s="513" cm="1">
        <f t="array" ref="N7">INDEX('Données Alimentaire'!$F$57:$S$62,1,('Bilan Alimentaire'!$L$5-2013)*2)</f>
        <v>435.63565</v>
      </c>
      <c r="O7" s="463">
        <f t="shared" ref="O7:O12" si="0">M7/$M$12</f>
        <v>0.12016347043865011</v>
      </c>
      <c r="P7" s="463">
        <f t="shared" ref="P7:P12" si="1">N7/$N$12</f>
        <v>0.44793376099486626</v>
      </c>
    </row>
    <row r="8" spans="2:16">
      <c r="B8" s="459" t="s">
        <v>928</v>
      </c>
      <c r="C8" s="513">
        <v>0.4609723572372193</v>
      </c>
      <c r="D8" s="513">
        <v>0.36143949229491407</v>
      </c>
      <c r="E8" s="513">
        <v>0.38048010511961211</v>
      </c>
      <c r="F8" s="513">
        <v>0.44822020866957263</v>
      </c>
      <c r="G8" s="513">
        <v>0.520096375811825</v>
      </c>
      <c r="H8" s="513">
        <v>0.50886593959664106</v>
      </c>
      <c r="I8" s="513">
        <v>0.36403802843536714</v>
      </c>
      <c r="L8" s="507" t="s">
        <v>3</v>
      </c>
      <c r="M8" s="513" cm="1">
        <f t="array" ref="M8">INDEX('Données Alimentaire'!$F$57:$S$62,2,('Bilan Alimentaire'!$L$5-2013)*2-1)</f>
        <v>73.680000000000007</v>
      </c>
      <c r="N8" s="513" cm="1">
        <f t="array" ref="N8">INDEX('Données Alimentaire'!$F$57:$S$62,2,('Bilan Alimentaire'!$L$5-2013)*2)</f>
        <v>288.08575000000002</v>
      </c>
      <c r="O8" s="463">
        <f t="shared" si="0"/>
        <v>0.24620813409120523</v>
      </c>
      <c r="P8" s="463">
        <f t="shared" si="1"/>
        <v>0.29621848782698751</v>
      </c>
    </row>
    <row r="9" spans="2:16">
      <c r="B9" s="459" t="s">
        <v>929</v>
      </c>
      <c r="C9" s="513">
        <v>1.7856749171215631</v>
      </c>
      <c r="D9" s="513">
        <v>1.302139992527424</v>
      </c>
      <c r="E9" s="513">
        <v>1.3478701016413899</v>
      </c>
      <c r="F9" s="513">
        <v>1.5400871150986797</v>
      </c>
      <c r="G9" s="513">
        <v>1.6815822458525427</v>
      </c>
      <c r="H9" s="513">
        <v>1.6267426566061398</v>
      </c>
      <c r="I9" s="513">
        <v>1.2999383384622438</v>
      </c>
      <c r="L9" s="507" t="s">
        <v>4</v>
      </c>
      <c r="M9" s="513" cm="1">
        <f t="array" ref="M9">INDEX('Données Alimentaire'!$F$57:$S$62,3,('Bilan Alimentaire'!$L$5-2013)*2-1)</f>
        <v>109.46900000000001</v>
      </c>
      <c r="N9" s="513" cm="1">
        <f t="array" ref="N9">INDEX('Données Alimentaire'!$F$57:$S$62,3,('Bilan Alimentaire'!$L$5-2013)*2)</f>
        <v>109.46900000000001</v>
      </c>
      <c r="O9" s="463">
        <f t="shared" si="0"/>
        <v>0.36580019314373163</v>
      </c>
      <c r="P9" s="463">
        <f t="shared" si="1"/>
        <v>0.11255933916874576</v>
      </c>
    </row>
    <row r="10" spans="2:16">
      <c r="L10" s="507" t="s">
        <v>28</v>
      </c>
      <c r="M10" s="513" cm="1">
        <f t="array" ref="M10">INDEX('Données Alimentaire'!$F$57:$S$62,4,('Bilan Alimentaire'!$L$5-2013)*2-1)</f>
        <v>18.033000000000001</v>
      </c>
      <c r="N10" s="513" cm="1">
        <f t="array" ref="N10">INDEX('Données Alimentaire'!$F$57:$S$62,4,('Bilan Alimentaire'!$L$5-2013)*2)</f>
        <v>84.3947</v>
      </c>
      <c r="O10" s="463">
        <f t="shared" si="0"/>
        <v>6.0258839333152875E-2</v>
      </c>
      <c r="P10" s="463">
        <f t="shared" si="1"/>
        <v>8.677718496875414E-2</v>
      </c>
    </row>
    <row r="11" spans="2:16">
      <c r="E11" s="368"/>
      <c r="F11" s="368"/>
      <c r="G11" s="368"/>
      <c r="H11" s="509"/>
      <c r="L11" s="507" t="s">
        <v>35</v>
      </c>
      <c r="M11" s="513" cm="1">
        <f t="array" ref="M11">INDEX('Données Alimentaire'!$F$57:$S$62,5,('Bilan Alimentaire'!$L$5-2013)*2-1)</f>
        <v>62.117000000000004</v>
      </c>
      <c r="N11" s="513" cm="1">
        <f t="array" ref="N11">INDEX('Données Alimentaire'!$F$57:$S$62,5,('Bilan Alimentaire'!$L$5-2013)*2)</f>
        <v>54.959699999999998</v>
      </c>
      <c r="O11" s="463">
        <f t="shared" si="0"/>
        <v>0.20756936299325998</v>
      </c>
      <c r="P11" s="463">
        <f t="shared" si="1"/>
        <v>5.6511227040646352E-2</v>
      </c>
    </row>
    <row r="12" spans="2:16">
      <c r="L12" s="161" t="s">
        <v>36</v>
      </c>
      <c r="M12" s="574" cm="1">
        <f t="array" ref="M12">INDEX('Données Alimentaire'!$F$57:$S$62,6,('Bilan Alimentaire'!$L$5-2013)*2-1)</f>
        <v>299.25900000000007</v>
      </c>
      <c r="N12" s="574" cm="1">
        <f t="array" ref="N12">INDEX('Données Alimentaire'!$F$57:$S$62,6,('Bilan Alimentaire'!$L$5-2013)*2)</f>
        <v>972.54480000000001</v>
      </c>
      <c r="O12" s="576">
        <f t="shared" si="0"/>
        <v>1</v>
      </c>
      <c r="P12" s="576">
        <f t="shared" si="1"/>
        <v>1</v>
      </c>
    </row>
    <row r="13" spans="2:16">
      <c r="B13" s="578" t="str">
        <f>IF(C14=0,_xlfn.CONCAT("Quantité commandée de ",B15," (tonnes)"),_xlfn.CONCAT("Quantité commandée de ",B15," par repas servi (kg)"))</f>
        <v>Quantité commandée de Canard/canette par repas servi (kg)</v>
      </c>
      <c r="C13" s="459" t="s">
        <v>1083</v>
      </c>
    </row>
    <row r="14" spans="2:16">
      <c r="C14" s="323">
        <v>1</v>
      </c>
    </row>
    <row r="15" spans="2:16">
      <c r="B15" s="511" t="s">
        <v>1065</v>
      </c>
    </row>
    <row r="16" spans="2:16">
      <c r="B16" s="504" t="s">
        <v>32</v>
      </c>
      <c r="C16" s="504">
        <v>2014</v>
      </c>
      <c r="D16" s="504">
        <v>2015</v>
      </c>
      <c r="E16" s="504">
        <v>2016</v>
      </c>
      <c r="F16" s="504">
        <v>2017</v>
      </c>
      <c r="G16" s="504">
        <v>2018</v>
      </c>
      <c r="H16" s="504">
        <v>2019</v>
      </c>
      <c r="I16" s="504">
        <v>2020</v>
      </c>
    </row>
    <row r="17" spans="2:12">
      <c r="B17" s="503" t="s">
        <v>1084</v>
      </c>
      <c r="C17" s="520">
        <f>IF(C14=0,VLOOKUP($B$15,'Données Alimentaire'!C48:S62,4,FALSE),VLOOKUP($B$15,'Données Alimentaire'!C48:S62,4,FALSE)/C19*1000000)</f>
        <v>3.4646925396944086</v>
      </c>
      <c r="D17" s="520">
        <f>IF(C14=0,VLOOKUP($B$15,'Données Alimentaire'!C48:S62,6,FALSE),VLOOKUP($B$15,'Données Alimentaire'!C48:S62,6,FALSE)/D19*1000000)</f>
        <v>1.9810390106094449</v>
      </c>
      <c r="E17" s="520">
        <f>IF(C14=0,VLOOKUP($B$15,'Données Alimentaire'!C48:S62,8,FALSE),VLOOKUP($B$15,'Données Alimentaire'!C48:S62,8,FALSE)/E19*1000000)</f>
        <v>1.7667161715260564</v>
      </c>
      <c r="F17" s="520">
        <f>IF(C14=0,VLOOKUP($B$15,'Données Alimentaire'!C48:S62,10,FALSE),VLOOKUP($B$15,'Données Alimentaire'!C48:S62,10,FALSE)/F19*1000000)</f>
        <v>2.1515078346401659</v>
      </c>
      <c r="G17" s="520">
        <f>IF(C14=0,VLOOKUP($B$15,'Données Alimentaire'!C48:S62,12,FALSE),VLOOKUP($B$15,'Données Alimentaire'!C48:S62,12,FALSE)/G19*1000000)</f>
        <v>2.0325066460275263</v>
      </c>
      <c r="H17" s="520">
        <f>IF(C14=0,VLOOKUP($B$15,'Données Alimentaire'!C48:S62,14,FALSE),VLOOKUP($B$15,'Données Alimentaire'!C48:S62,14,FALSE)/H19*1000000)</f>
        <v>1.9496625274862218</v>
      </c>
      <c r="I17" s="520">
        <f>IF(C14=0,VLOOKUP($B$15,'Données Alimentaire'!C48:S62,16,FALSE),VLOOKUP($B$15,'Données Alimentaire'!C48:S62,16,FALSE)/I19*1000000)</f>
        <v>4.9541263373848867</v>
      </c>
    </row>
    <row r="18" spans="2:12">
      <c r="B18" s="503" t="s">
        <v>1073</v>
      </c>
      <c r="C18" s="510">
        <f>VLOOKUP($B$15,'Données Alimentaire'!C48:S62,5,FALSE)</f>
        <v>19.085000000000001</v>
      </c>
      <c r="D18" s="510">
        <f>VLOOKUP($B$15,'Données Alimentaire'!C48:S62,7,FALSE)</f>
        <v>5.4340000000000002</v>
      </c>
      <c r="E18" s="510">
        <f>VLOOKUP($B$15,'Données Alimentaire'!C48:S62,9,FALSE)</f>
        <v>1.98</v>
      </c>
      <c r="F18" s="510">
        <f>VLOOKUP($B$15,'Données Alimentaire'!C48:S62,11,FALSE)</f>
        <v>6.71</v>
      </c>
      <c r="G18" s="510">
        <f>VLOOKUP($B$15,'Données Alimentaire'!C48:S62,13,FALSE)</f>
        <v>4.6639999999999997</v>
      </c>
      <c r="H18" s="510">
        <f>VLOOKUP($B$15,'Données Alimentaire'!C48:S62,15,FALSE)</f>
        <v>2.8050000000000002</v>
      </c>
      <c r="I18" s="510">
        <f>VLOOKUP($B$15,'Données Alimentaire'!C48:S62,17,FALSE)</f>
        <v>10.374000000000001</v>
      </c>
    </row>
    <row r="19" spans="2:12">
      <c r="B19" s="503" t="s">
        <v>1082</v>
      </c>
      <c r="C19" s="510">
        <f>C4</f>
        <v>802380</v>
      </c>
      <c r="D19" s="510">
        <f t="shared" ref="D19:I19" si="2">D4</f>
        <v>744054</v>
      </c>
      <c r="E19" s="510">
        <f t="shared" si="2"/>
        <v>724508</v>
      </c>
      <c r="F19" s="510">
        <f t="shared" si="2"/>
        <v>786890</v>
      </c>
      <c r="G19" s="510">
        <f t="shared" si="2"/>
        <v>742925</v>
      </c>
      <c r="H19" s="510">
        <f t="shared" si="2"/>
        <v>746283</v>
      </c>
      <c r="I19" s="510">
        <f t="shared" si="2"/>
        <v>349002</v>
      </c>
    </row>
    <row r="20" spans="2:12">
      <c r="L20" s="459" t="s">
        <v>1077</v>
      </c>
    </row>
    <row r="21" spans="2:12">
      <c r="K21" s="459" t="s">
        <v>285</v>
      </c>
      <c r="L21" s="359">
        <v>44</v>
      </c>
    </row>
    <row r="22" spans="2:12">
      <c r="K22" s="459" t="s">
        <v>284</v>
      </c>
      <c r="L22" s="359">
        <v>39</v>
      </c>
    </row>
    <row r="23" spans="2:12">
      <c r="K23" s="459" t="s">
        <v>287</v>
      </c>
      <c r="L23" s="359">
        <v>20</v>
      </c>
    </row>
    <row r="24" spans="2:12">
      <c r="K24" s="459" t="s">
        <v>289</v>
      </c>
      <c r="L24" s="359">
        <v>10</v>
      </c>
    </row>
    <row r="25" spans="2:12">
      <c r="K25" s="459" t="s">
        <v>288</v>
      </c>
      <c r="L25" s="359">
        <v>6</v>
      </c>
    </row>
    <row r="26" spans="2:12">
      <c r="K26" s="459" t="s">
        <v>290</v>
      </c>
      <c r="L26" s="359">
        <v>6</v>
      </c>
    </row>
    <row r="27" spans="2:12">
      <c r="K27" s="459" t="s">
        <v>286</v>
      </c>
      <c r="L27" s="359">
        <v>5</v>
      </c>
    </row>
  </sheetData>
  <conditionalFormatting sqref="K4:K8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{C05A6944-7244-4361-B870-0CC0B9E477C5}</x14:id>
        </ext>
      </extLst>
    </cfRule>
  </conditionalFormatting>
  <dataValidations count="2">
    <dataValidation type="list" allowBlank="1" showInputMessage="1" showErrorMessage="1" sqref="L5" xr:uid="{13BA051F-58ED-4199-B69F-22199E757F63}">
      <formula1>$C$16:$I$16</formula1>
    </dataValidation>
    <dataValidation type="whole" showInputMessage="1" showErrorMessage="1" sqref="C14" xr:uid="{572B0C36-F0C3-4E59-8175-65888BF30112}">
      <formula1>0</formula1>
      <formula2>1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5A6944-7244-4361-B870-0CC0B9E477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K4:K8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55E41F-E7E1-4E4A-9681-6616DEAB20D3}">
          <x14:formula1>
            <xm:f>'Données Alimentaire'!$C$48:$C$62</xm:f>
          </x14:formula1>
          <xm:sqref>B15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505E-0212-4305-9A23-EB9425C9D727}">
  <sheetPr>
    <tabColor theme="9"/>
  </sheetPr>
  <dimension ref="B1:P68"/>
  <sheetViews>
    <sheetView showGridLines="0" topLeftCell="A16" zoomScale="70" zoomScaleNormal="70" workbookViewId="0">
      <selection activeCell="I67" sqref="I67"/>
    </sheetView>
  </sheetViews>
  <sheetFormatPr baseColWidth="10" defaultRowHeight="14.4"/>
  <cols>
    <col min="2" max="2" width="27.21875" bestFit="1" customWidth="1"/>
    <col min="3" max="3" width="20.6640625" customWidth="1"/>
    <col min="4" max="4" width="27.88671875" customWidth="1"/>
    <col min="5" max="5" width="14.88671875" bestFit="1" customWidth="1"/>
    <col min="6" max="6" width="20.5546875" bestFit="1" customWidth="1"/>
    <col min="7" max="7" width="22.109375" bestFit="1" customWidth="1"/>
    <col min="8" max="8" width="16.21875" bestFit="1" customWidth="1"/>
    <col min="9" max="9" width="11.6640625" bestFit="1" customWidth="1"/>
    <col min="10" max="10" width="21.77734375" customWidth="1"/>
    <col min="11" max="11" width="15.6640625" bestFit="1" customWidth="1"/>
    <col min="12" max="13" width="19.5546875" bestFit="1" customWidth="1"/>
    <col min="14" max="14" width="18.109375" bestFit="1" customWidth="1"/>
    <col min="15" max="15" width="16.88671875" bestFit="1" customWidth="1"/>
    <col min="16" max="16" width="14.88671875" customWidth="1"/>
  </cols>
  <sheetData>
    <row r="1" spans="2:5" ht="14.4" customHeight="1"/>
    <row r="2" spans="2:5">
      <c r="B2" s="524" t="s">
        <v>302</v>
      </c>
      <c r="C2" s="525"/>
      <c r="D2" s="525"/>
      <c r="E2" s="526"/>
    </row>
    <row r="3" spans="2:5" ht="40.799999999999997" customHeight="1">
      <c r="B3" s="521" t="s">
        <v>31</v>
      </c>
      <c r="C3" s="522" t="s">
        <v>303</v>
      </c>
      <c r="D3" s="522" t="s">
        <v>1091</v>
      </c>
      <c r="E3" s="523" t="s">
        <v>50</v>
      </c>
    </row>
    <row r="4" spans="2:5">
      <c r="B4" s="527" t="s">
        <v>1097</v>
      </c>
      <c r="C4" s="527" t="s">
        <v>1093</v>
      </c>
      <c r="D4" s="527">
        <v>122</v>
      </c>
      <c r="E4" s="209">
        <v>0.5</v>
      </c>
    </row>
    <row r="5" spans="2:5">
      <c r="B5" s="208" t="s">
        <v>304</v>
      </c>
      <c r="C5" s="208" t="s">
        <v>305</v>
      </c>
      <c r="D5" s="208">
        <v>130</v>
      </c>
      <c r="E5" s="209">
        <v>0.5</v>
      </c>
    </row>
    <row r="6" spans="2:5">
      <c r="B6" s="208" t="s">
        <v>315</v>
      </c>
      <c r="C6" s="208" t="s">
        <v>309</v>
      </c>
      <c r="D6" s="208">
        <v>934</v>
      </c>
      <c r="E6" s="209">
        <v>0.5</v>
      </c>
    </row>
    <row r="7" spans="2:5">
      <c r="B7" s="208" t="s">
        <v>315</v>
      </c>
      <c r="C7" s="208" t="s">
        <v>316</v>
      </c>
      <c r="D7" s="208">
        <v>128</v>
      </c>
      <c r="E7" s="209">
        <v>0.5</v>
      </c>
    </row>
    <row r="8" spans="2:5">
      <c r="B8" s="208" t="s">
        <v>311</v>
      </c>
      <c r="C8" s="208" t="s">
        <v>305</v>
      </c>
      <c r="D8" s="208">
        <f>(130*0.38)+(33*0.12)+(880*0.2)+(33*0.29)</f>
        <v>238.93</v>
      </c>
      <c r="E8" s="209">
        <v>0.5</v>
      </c>
    </row>
    <row r="9" spans="2:5">
      <c r="B9" s="208" t="s">
        <v>312</v>
      </c>
      <c r="C9" s="208" t="s">
        <v>313</v>
      </c>
      <c r="D9" s="208">
        <v>24.1</v>
      </c>
      <c r="E9" s="209">
        <v>0.5</v>
      </c>
    </row>
    <row r="10" spans="2:5">
      <c r="B10" s="208" t="s">
        <v>0</v>
      </c>
      <c r="C10" s="208" t="s">
        <v>314</v>
      </c>
      <c r="D10" s="208">
        <v>1995</v>
      </c>
      <c r="E10" s="209">
        <v>0.5</v>
      </c>
    </row>
    <row r="11" spans="2:5">
      <c r="B11" s="208" t="s">
        <v>1094</v>
      </c>
      <c r="C11" s="208" t="s">
        <v>1093</v>
      </c>
      <c r="D11" s="208">
        <f>(1995+5064)/2</f>
        <v>3529.5</v>
      </c>
      <c r="E11" s="209">
        <v>0.5</v>
      </c>
    </row>
    <row r="12" spans="2:5">
      <c r="B12" s="208" t="s">
        <v>1092</v>
      </c>
      <c r="C12" s="208" t="s">
        <v>1093</v>
      </c>
      <c r="D12" s="208">
        <v>907</v>
      </c>
      <c r="E12" s="209">
        <v>0.5</v>
      </c>
    </row>
    <row r="13" spans="2:5">
      <c r="B13" s="208" t="s">
        <v>1095</v>
      </c>
      <c r="C13" s="208" t="s">
        <v>1093</v>
      </c>
      <c r="D13" s="208">
        <v>5064</v>
      </c>
      <c r="E13" s="209">
        <v>0.5</v>
      </c>
    </row>
    <row r="14" spans="2:5">
      <c r="B14" s="208" t="s">
        <v>1096</v>
      </c>
      <c r="C14" s="208" t="s">
        <v>1093</v>
      </c>
      <c r="D14" s="208">
        <v>623</v>
      </c>
      <c r="E14" s="209">
        <v>0.5</v>
      </c>
    </row>
    <row r="15" spans="2:5">
      <c r="B15" s="208" t="s">
        <v>19</v>
      </c>
      <c r="C15" s="208" t="s">
        <v>1093</v>
      </c>
      <c r="D15" s="208">
        <v>87</v>
      </c>
      <c r="E15" s="209">
        <v>0.5</v>
      </c>
    </row>
    <row r="16" spans="2:5">
      <c r="B16" s="208" t="s">
        <v>307</v>
      </c>
      <c r="C16" s="208" t="s">
        <v>308</v>
      </c>
      <c r="D16" s="208">
        <v>155</v>
      </c>
      <c r="E16" s="209">
        <v>0.5</v>
      </c>
    </row>
    <row r="17" spans="2:16">
      <c r="B17" s="208" t="s">
        <v>310</v>
      </c>
      <c r="C17" s="208" t="s">
        <v>1093</v>
      </c>
      <c r="D17" s="208">
        <v>13</v>
      </c>
      <c r="E17" s="209">
        <v>0.14000000000000001</v>
      </c>
    </row>
    <row r="18" spans="2:16">
      <c r="B18" s="208" t="s">
        <v>1105</v>
      </c>
      <c r="C18" s="208" t="s">
        <v>1106</v>
      </c>
      <c r="D18" s="208">
        <v>938</v>
      </c>
      <c r="E18" s="209">
        <v>0.5</v>
      </c>
    </row>
    <row r="19" spans="2:16">
      <c r="B19" s="208" t="s">
        <v>306</v>
      </c>
      <c r="C19" s="208" t="s">
        <v>305</v>
      </c>
      <c r="D19" s="208">
        <v>235</v>
      </c>
      <c r="E19" s="209">
        <v>0.5</v>
      </c>
    </row>
    <row r="20" spans="2:16">
      <c r="B20" s="208" t="s">
        <v>1088</v>
      </c>
      <c r="C20" s="208" t="s">
        <v>305</v>
      </c>
      <c r="D20" s="208">
        <v>229</v>
      </c>
      <c r="E20" s="209">
        <v>0.5</v>
      </c>
    </row>
    <row r="24" spans="2:16" ht="15.6">
      <c r="B24" s="690" t="s">
        <v>1128</v>
      </c>
      <c r="C24" s="690"/>
      <c r="D24" s="690"/>
      <c r="E24" s="690"/>
      <c r="F24" s="690"/>
      <c r="G24" s="690"/>
      <c r="H24" s="690"/>
      <c r="I24" s="690"/>
      <c r="J24" s="690"/>
      <c r="K24" s="690"/>
      <c r="L24" s="690"/>
      <c r="M24" s="690"/>
      <c r="N24" s="690"/>
      <c r="O24" s="690"/>
      <c r="P24" s="690"/>
    </row>
    <row r="25" spans="2:16">
      <c r="B25" t="s">
        <v>949</v>
      </c>
      <c r="C25" t="s">
        <v>1085</v>
      </c>
      <c r="D25" t="s">
        <v>1086</v>
      </c>
      <c r="E25" t="s">
        <v>1110</v>
      </c>
      <c r="F25" t="s">
        <v>1094</v>
      </c>
      <c r="G25" t="s">
        <v>1102</v>
      </c>
      <c r="H25" t="s">
        <v>1103</v>
      </c>
      <c r="I25" t="s">
        <v>19</v>
      </c>
      <c r="J25" t="s">
        <v>1087</v>
      </c>
      <c r="K25" t="s">
        <v>1098</v>
      </c>
      <c r="L25" t="s">
        <v>1100</v>
      </c>
      <c r="M25" t="s">
        <v>1099</v>
      </c>
      <c r="N25" t="s">
        <v>1101</v>
      </c>
      <c r="O25" t="s">
        <v>1</v>
      </c>
      <c r="P25" s="530" t="s">
        <v>1104</v>
      </c>
    </row>
    <row r="26" spans="2:16">
      <c r="B26" s="38">
        <v>2015</v>
      </c>
      <c r="C26">
        <v>69.02</v>
      </c>
      <c r="D26">
        <v>37.54</v>
      </c>
      <c r="E26">
        <v>5.35</v>
      </c>
      <c r="F26">
        <v>9.94</v>
      </c>
      <c r="G26">
        <v>3.49</v>
      </c>
      <c r="I26">
        <v>383.44</v>
      </c>
      <c r="J26">
        <v>2.9</v>
      </c>
      <c r="L26">
        <v>11.7</v>
      </c>
      <c r="M26">
        <v>158.24</v>
      </c>
      <c r="N26">
        <v>0</v>
      </c>
      <c r="O26" s="368">
        <v>45.342857142857142</v>
      </c>
      <c r="P26" s="529">
        <f>SUM(Tableau2[[#This Row],[Papiers-cartons]:[Déchets verts]])</f>
        <v>726.96285714285716</v>
      </c>
    </row>
    <row r="27" spans="2:16">
      <c r="B27" s="38">
        <v>2016</v>
      </c>
      <c r="C27">
        <v>70.98</v>
      </c>
      <c r="D27">
        <v>42.03</v>
      </c>
      <c r="E27">
        <v>4.47</v>
      </c>
      <c r="F27">
        <v>11.04</v>
      </c>
      <c r="G27">
        <v>3.07</v>
      </c>
      <c r="I27">
        <v>444.24</v>
      </c>
      <c r="J27">
        <v>2.54</v>
      </c>
      <c r="L27">
        <v>6.54</v>
      </c>
      <c r="M27">
        <v>33.5</v>
      </c>
      <c r="N27">
        <v>0</v>
      </c>
      <c r="O27" s="368">
        <v>163.28571428571428</v>
      </c>
      <c r="P27" s="529">
        <f>SUM(Tableau2[[#This Row],[Papiers-cartons]:[Déchets verts]])</f>
        <v>781.6957142857143</v>
      </c>
    </row>
    <row r="28" spans="2:16">
      <c r="B28" s="38">
        <v>2017</v>
      </c>
      <c r="C28">
        <v>52.26</v>
      </c>
      <c r="D28">
        <v>80.22</v>
      </c>
      <c r="E28">
        <v>4.96</v>
      </c>
      <c r="F28">
        <v>16.66</v>
      </c>
      <c r="G28">
        <v>3</v>
      </c>
      <c r="I28">
        <v>358.02</v>
      </c>
      <c r="J28">
        <v>8.4450000000000003</v>
      </c>
      <c r="L28">
        <v>12.38</v>
      </c>
      <c r="M28">
        <v>60.12</v>
      </c>
      <c r="N28">
        <v>4.32</v>
      </c>
      <c r="O28" s="368">
        <v>76</v>
      </c>
      <c r="P28" s="529">
        <f>SUM(Tableau2[[#This Row],[Papiers-cartons]:[Déchets verts]])</f>
        <v>676.3850000000001</v>
      </c>
    </row>
    <row r="29" spans="2:16">
      <c r="B29" s="38">
        <v>2018</v>
      </c>
      <c r="C29">
        <v>30.048999999999996</v>
      </c>
      <c r="D29">
        <v>47.34</v>
      </c>
      <c r="E29">
        <v>8</v>
      </c>
      <c r="F29">
        <v>13.79</v>
      </c>
      <c r="G29">
        <v>1.61</v>
      </c>
      <c r="I29">
        <v>338.87</v>
      </c>
      <c r="J29">
        <v>10.383000000000001</v>
      </c>
      <c r="L29">
        <v>4.74</v>
      </c>
      <c r="M29">
        <v>38.880000000000003</v>
      </c>
      <c r="N29">
        <v>12.08</v>
      </c>
      <c r="O29" s="368">
        <v>100</v>
      </c>
      <c r="P29" s="529">
        <f>SUM(Tableau2[[#This Row],[Papiers-cartons]:[Déchets verts]])</f>
        <v>605.74199999999996</v>
      </c>
    </row>
    <row r="30" spans="2:16">
      <c r="B30" s="38">
        <v>2019</v>
      </c>
      <c r="C30">
        <v>35.158999999999999</v>
      </c>
      <c r="D30">
        <v>67.824700000000007</v>
      </c>
      <c r="E30">
        <v>15.54</v>
      </c>
      <c r="G30">
        <v>2.41</v>
      </c>
      <c r="H30">
        <v>2.46</v>
      </c>
      <c r="I30">
        <v>319.26</v>
      </c>
      <c r="J30">
        <v>16.329000000000001</v>
      </c>
      <c r="K30">
        <v>12.6</v>
      </c>
      <c r="L30">
        <v>7.38</v>
      </c>
      <c r="M30">
        <v>25.02</v>
      </c>
      <c r="N30">
        <v>4.9800000000000004</v>
      </c>
      <c r="O30">
        <v>43</v>
      </c>
      <c r="P30" s="529">
        <f>SUM(Tableau2[[#This Row],[Papiers-cartons]:[Déchets verts]])</f>
        <v>551.96270000000004</v>
      </c>
    </row>
    <row r="31" spans="2:16">
      <c r="B31" s="38">
        <v>2020</v>
      </c>
      <c r="C31">
        <v>25.713999999999999</v>
      </c>
      <c r="D31">
        <v>26.472900000000003</v>
      </c>
      <c r="E31">
        <v>4.08</v>
      </c>
      <c r="G31">
        <v>0.82</v>
      </c>
      <c r="H31">
        <v>1.18</v>
      </c>
      <c r="I31">
        <v>200.24</v>
      </c>
      <c r="J31">
        <v>10.184999999999999</v>
      </c>
      <c r="K31">
        <v>4.5199999999999996</v>
      </c>
      <c r="M31">
        <v>87.96</v>
      </c>
      <c r="P31" s="529">
        <f>SUM(Tableau2[[#This Row],[Papiers-cartons]:[Déchets verts]])</f>
        <v>361.17189999999999</v>
      </c>
    </row>
    <row r="32" spans="2:16">
      <c r="B32" t="s">
        <v>2</v>
      </c>
      <c r="C32">
        <f>SUBTOTAL(109,Tableau2[Papiers-cartons])</f>
        <v>283.18200000000002</v>
      </c>
      <c r="D32">
        <f>SUBTOTAL(109,Tableau2[Fermentescibles])</f>
        <v>301.42759999999998</v>
      </c>
      <c r="E32">
        <f>SUBTOTAL(109,Tableau2[DEEE divers])</f>
        <v>42.4</v>
      </c>
      <c r="F32">
        <f>SUBTOTAL(109,Tableau2[DEEE dont GEMF])</f>
        <v>51.43</v>
      </c>
      <c r="G32">
        <f>SUBTOTAL(109,Tableau2[DEEE Ecrans plats])</f>
        <v>14.4</v>
      </c>
      <c r="H32">
        <f>SUBTOTAL(109,Tableau2[DEEE GEMHF])</f>
        <v>3.6399999999999997</v>
      </c>
      <c r="I32">
        <f>SUBTOTAL(109,Tableau2[DIB])</f>
        <v>2044.0700000000002</v>
      </c>
      <c r="J32">
        <f>SUBTOTAL(109,Tableau2[Déchets d''emballages recyclables])</f>
        <v>50.781999999999996</v>
      </c>
      <c r="K32">
        <f>SUBTOTAL(109,Tableau2[Bennes Bois])</f>
        <v>17.119999999999997</v>
      </c>
      <c r="L32">
        <f>SUBTOTAL(109,Tableau2[Bennes férailles])</f>
        <v>42.74</v>
      </c>
      <c r="M32">
        <f>SUBTOTAL(109,Tableau2[Bennes Gravats])</f>
        <v>403.71999999999997</v>
      </c>
      <c r="N32">
        <f>SUBTOTAL(109,Tableau2[Bennes Autres])</f>
        <v>21.38</v>
      </c>
      <c r="O32" s="368">
        <f>SUBTOTAL(109,Tableau2[Déchets verts])</f>
        <v>427.62857142857143</v>
      </c>
      <c r="P32" s="529"/>
    </row>
    <row r="36" spans="2:16" ht="15.6">
      <c r="B36" s="691" t="s">
        <v>1129</v>
      </c>
      <c r="C36" s="691"/>
      <c r="D36" s="691"/>
      <c r="E36" s="691"/>
      <c r="F36" s="691"/>
      <c r="G36" s="691"/>
      <c r="H36" s="691"/>
      <c r="I36" s="691"/>
      <c r="J36" s="691"/>
      <c r="K36" s="691"/>
      <c r="L36" s="691"/>
      <c r="M36" s="691"/>
      <c r="N36" s="691"/>
      <c r="O36" s="691"/>
      <c r="P36" s="691"/>
    </row>
    <row r="37" spans="2:16">
      <c r="B37" t="s">
        <v>949</v>
      </c>
      <c r="C37" t="s">
        <v>1085</v>
      </c>
      <c r="D37" t="s">
        <v>1086</v>
      </c>
      <c r="E37" t="s">
        <v>1110</v>
      </c>
      <c r="F37" t="s">
        <v>1094</v>
      </c>
      <c r="G37" t="s">
        <v>1102</v>
      </c>
      <c r="H37" t="s">
        <v>1103</v>
      </c>
      <c r="I37" t="s">
        <v>19</v>
      </c>
      <c r="J37" t="s">
        <v>1087</v>
      </c>
      <c r="K37" t="s">
        <v>1098</v>
      </c>
      <c r="L37" t="s">
        <v>1100</v>
      </c>
      <c r="M37" t="s">
        <v>1099</v>
      </c>
      <c r="N37" t="s">
        <v>1101</v>
      </c>
      <c r="O37" t="s">
        <v>1</v>
      </c>
      <c r="P37" s="530" t="s">
        <v>1104</v>
      </c>
    </row>
    <row r="38" spans="2:16">
      <c r="B38" s="38">
        <v>2015</v>
      </c>
      <c r="C38" s="528">
        <f t="shared" ref="C38:C43" si="0">C26*$D$20/1000</f>
        <v>15.805579999999999</v>
      </c>
      <c r="D38" s="528">
        <f t="shared" ref="D38:D43" si="1">D26*$D$16/1000</f>
        <v>5.8186999999999998</v>
      </c>
      <c r="E38" s="528">
        <f t="shared" ref="E38:E43" si="2">E26*$D$10/1000</f>
        <v>10.673249999999999</v>
      </c>
      <c r="F38" s="528">
        <f t="shared" ref="F38:F43" si="3">F26*$D$11/1000</f>
        <v>35.083229999999993</v>
      </c>
      <c r="G38" s="528">
        <f t="shared" ref="G38:G43" si="4">G26*$D$12/1000</f>
        <v>3.1654300000000002</v>
      </c>
      <c r="H38" s="528">
        <f t="shared" ref="H38:H43" si="5">H26*$D$14/1000</f>
        <v>0</v>
      </c>
      <c r="I38" s="528">
        <f t="shared" ref="I38:I43" si="6">I26*$D$15/1000</f>
        <v>33.359279999999998</v>
      </c>
      <c r="J38" s="528">
        <f t="shared" ref="J38:J43" si="7">J26*$D$8/1000</f>
        <v>0.6928970000000001</v>
      </c>
      <c r="K38" s="528">
        <f t="shared" ref="K38:K43" si="8">K26*$D$4/1000</f>
        <v>0</v>
      </c>
      <c r="L38" s="528">
        <f t="shared" ref="L38:L43" si="9">L26*$D$18/1000</f>
        <v>10.974599999999999</v>
      </c>
      <c r="M38" s="528">
        <f t="shared" ref="M38:M43" si="10">M26*$D$17/1000</f>
        <v>2.0571199999999998</v>
      </c>
      <c r="N38" s="528">
        <f t="shared" ref="N38:N43" si="11">N26*$D$15/1000</f>
        <v>0</v>
      </c>
      <c r="O38" s="528">
        <f t="shared" ref="O38:O43" si="12">O26*$D$9/1000</f>
        <v>1.0927628571428571</v>
      </c>
      <c r="P38" s="529">
        <f>SUM(Tableau24[[#This Row],[Papiers-cartons]:[Déchets verts]])</f>
        <v>118.72284985714283</v>
      </c>
    </row>
    <row r="39" spans="2:16">
      <c r="B39" s="38">
        <v>2016</v>
      </c>
      <c r="C39" s="528">
        <f t="shared" si="0"/>
        <v>16.25442</v>
      </c>
      <c r="D39" s="528">
        <f t="shared" si="1"/>
        <v>6.5146500000000005</v>
      </c>
      <c r="E39" s="528">
        <f t="shared" si="2"/>
        <v>8.9176500000000001</v>
      </c>
      <c r="F39" s="528">
        <f t="shared" si="3"/>
        <v>38.965679999999999</v>
      </c>
      <c r="G39" s="528">
        <f t="shared" si="4"/>
        <v>2.7844899999999999</v>
      </c>
      <c r="H39" s="528">
        <f t="shared" si="5"/>
        <v>0</v>
      </c>
      <c r="I39" s="528">
        <f t="shared" si="6"/>
        <v>38.648879999999998</v>
      </c>
      <c r="J39" s="528">
        <f t="shared" si="7"/>
        <v>0.60688220000000004</v>
      </c>
      <c r="K39" s="528">
        <f t="shared" si="8"/>
        <v>0</v>
      </c>
      <c r="L39" s="528">
        <f t="shared" si="9"/>
        <v>6.1345200000000002</v>
      </c>
      <c r="M39" s="528">
        <f t="shared" si="10"/>
        <v>0.4355</v>
      </c>
      <c r="N39" s="528">
        <f t="shared" si="11"/>
        <v>0</v>
      </c>
      <c r="O39" s="528">
        <f t="shared" si="12"/>
        <v>3.9351857142857143</v>
      </c>
      <c r="P39" s="529">
        <f>SUM(Tableau24[[#This Row],[Papiers-cartons]:[Déchets verts]])</f>
        <v>123.19785791428571</v>
      </c>
    </row>
    <row r="40" spans="2:16">
      <c r="B40" s="38">
        <v>2017</v>
      </c>
      <c r="C40" s="528">
        <f t="shared" si="0"/>
        <v>11.96754</v>
      </c>
      <c r="D40" s="528">
        <f t="shared" si="1"/>
        <v>12.434100000000001</v>
      </c>
      <c r="E40" s="528">
        <f t="shared" si="2"/>
        <v>9.8952000000000009</v>
      </c>
      <c r="F40" s="528">
        <f t="shared" si="3"/>
        <v>58.801470000000002</v>
      </c>
      <c r="G40" s="528">
        <f t="shared" si="4"/>
        <v>2.7210000000000001</v>
      </c>
      <c r="H40" s="528">
        <f t="shared" si="5"/>
        <v>0</v>
      </c>
      <c r="I40" s="528">
        <f t="shared" si="6"/>
        <v>31.147739999999999</v>
      </c>
      <c r="J40" s="528">
        <f t="shared" si="7"/>
        <v>2.0177638500000001</v>
      </c>
      <c r="K40" s="528">
        <f t="shared" si="8"/>
        <v>0</v>
      </c>
      <c r="L40" s="528">
        <f t="shared" si="9"/>
        <v>11.612440000000001</v>
      </c>
      <c r="M40" s="528">
        <f t="shared" si="10"/>
        <v>0.78155999999999992</v>
      </c>
      <c r="N40" s="528">
        <f t="shared" si="11"/>
        <v>0.37584000000000001</v>
      </c>
      <c r="O40" s="528">
        <f t="shared" si="12"/>
        <v>1.8316000000000001</v>
      </c>
      <c r="P40" s="529">
        <f>SUM(Tableau24[[#This Row],[Papiers-cartons]:[Déchets verts]])</f>
        <v>143.58625385000002</v>
      </c>
    </row>
    <row r="41" spans="2:16">
      <c r="B41" s="38">
        <v>2018</v>
      </c>
      <c r="C41" s="528">
        <f t="shared" si="0"/>
        <v>6.8812209999999983</v>
      </c>
      <c r="D41" s="528">
        <f t="shared" si="1"/>
        <v>7.3377000000000008</v>
      </c>
      <c r="E41" s="528">
        <f t="shared" si="2"/>
        <v>15.96</v>
      </c>
      <c r="F41" s="528">
        <f t="shared" si="3"/>
        <v>48.671804999999999</v>
      </c>
      <c r="G41" s="528">
        <f t="shared" si="4"/>
        <v>1.46027</v>
      </c>
      <c r="H41" s="528">
        <f t="shared" si="5"/>
        <v>0</v>
      </c>
      <c r="I41" s="528">
        <f t="shared" si="6"/>
        <v>29.48169</v>
      </c>
      <c r="J41" s="528">
        <f t="shared" si="7"/>
        <v>2.4808101900000001</v>
      </c>
      <c r="K41" s="528">
        <f t="shared" si="8"/>
        <v>0</v>
      </c>
      <c r="L41" s="528">
        <f t="shared" si="9"/>
        <v>4.4461199999999996</v>
      </c>
      <c r="M41" s="528">
        <f t="shared" si="10"/>
        <v>0.50544</v>
      </c>
      <c r="N41" s="528">
        <f t="shared" si="11"/>
        <v>1.0509600000000001</v>
      </c>
      <c r="O41" s="528">
        <f t="shared" si="12"/>
        <v>2.41</v>
      </c>
      <c r="P41" s="529">
        <f>SUM(Tableau24[[#This Row],[Papiers-cartons]:[Déchets verts]])</f>
        <v>120.68601618999998</v>
      </c>
    </row>
    <row r="42" spans="2:16">
      <c r="B42" s="38">
        <v>2019</v>
      </c>
      <c r="C42" s="528">
        <f t="shared" si="0"/>
        <v>8.0514109999999999</v>
      </c>
      <c r="D42" s="528">
        <f t="shared" si="1"/>
        <v>10.512828500000001</v>
      </c>
      <c r="E42" s="528">
        <f t="shared" si="2"/>
        <v>31.002299999999998</v>
      </c>
      <c r="F42" s="528">
        <f t="shared" si="3"/>
        <v>0</v>
      </c>
      <c r="G42" s="528">
        <f t="shared" si="4"/>
        <v>2.1858700000000004</v>
      </c>
      <c r="H42" s="528">
        <f t="shared" si="5"/>
        <v>1.5325799999999998</v>
      </c>
      <c r="I42" s="528">
        <f t="shared" si="6"/>
        <v>27.77562</v>
      </c>
      <c r="J42" s="528">
        <f t="shared" si="7"/>
        <v>3.9014879700000002</v>
      </c>
      <c r="K42" s="528">
        <f t="shared" si="8"/>
        <v>1.5372000000000001</v>
      </c>
      <c r="L42" s="528">
        <f t="shared" si="9"/>
        <v>6.9224399999999999</v>
      </c>
      <c r="M42" s="528">
        <f t="shared" si="10"/>
        <v>0.32525999999999999</v>
      </c>
      <c r="N42" s="528">
        <f t="shared" si="11"/>
        <v>0.43326000000000003</v>
      </c>
      <c r="O42" s="528">
        <f t="shared" si="12"/>
        <v>1.0363</v>
      </c>
      <c r="P42" s="529">
        <f>SUM(Tableau24[[#This Row],[Papiers-cartons]:[Déchets verts]])</f>
        <v>95.216557469999998</v>
      </c>
    </row>
    <row r="43" spans="2:16">
      <c r="B43" s="38">
        <v>2020</v>
      </c>
      <c r="C43" s="528">
        <f t="shared" si="0"/>
        <v>5.8885059999999996</v>
      </c>
      <c r="D43" s="528">
        <f t="shared" si="1"/>
        <v>4.1032995000000003</v>
      </c>
      <c r="E43" s="528">
        <f t="shared" si="2"/>
        <v>8.1395999999999997</v>
      </c>
      <c r="F43" s="528">
        <f t="shared" si="3"/>
        <v>0</v>
      </c>
      <c r="G43" s="528">
        <f t="shared" si="4"/>
        <v>0.74373999999999996</v>
      </c>
      <c r="H43" s="528">
        <f t="shared" si="5"/>
        <v>0.73514000000000002</v>
      </c>
      <c r="I43" s="528">
        <f t="shared" si="6"/>
        <v>17.42088</v>
      </c>
      <c r="J43" s="528">
        <f t="shared" si="7"/>
        <v>2.4335020499999995</v>
      </c>
      <c r="K43" s="528">
        <f t="shared" si="8"/>
        <v>0.55143999999999993</v>
      </c>
      <c r="L43" s="528">
        <f t="shared" si="9"/>
        <v>0</v>
      </c>
      <c r="M43" s="528">
        <f t="shared" si="10"/>
        <v>1.1434800000000001</v>
      </c>
      <c r="N43" s="528">
        <f t="shared" si="11"/>
        <v>0</v>
      </c>
      <c r="O43" s="528">
        <f t="shared" si="12"/>
        <v>0</v>
      </c>
      <c r="P43" s="529">
        <f>SUM(Tableau24[[#This Row],[Papiers-cartons]:[Déchets verts]])</f>
        <v>41.159587549999998</v>
      </c>
    </row>
    <row r="44" spans="2:16">
      <c r="B44" t="s">
        <v>2</v>
      </c>
      <c r="C44" s="508">
        <f>SUBTOTAL(109,Tableau24[Papiers-cartons])</f>
        <v>64.848678000000007</v>
      </c>
      <c r="D44" s="508">
        <f>SUBTOTAL(109,Tableau24[Fermentescibles])</f>
        <v>46.721278000000005</v>
      </c>
      <c r="E44" s="508">
        <f>SUBTOTAL(109,Tableau24[DEEE divers])</f>
        <v>84.587999999999994</v>
      </c>
      <c r="F44" s="508">
        <f>SUBTOTAL(109,Tableau24[DEEE dont GEMF])</f>
        <v>181.52218500000001</v>
      </c>
      <c r="G44" s="508">
        <f>SUBTOTAL(109,Tableau24[DEEE Ecrans plats])</f>
        <v>13.060800000000002</v>
      </c>
      <c r="H44" s="508">
        <f>SUBTOTAL(109,Tableau24[DEEE GEMHF])</f>
        <v>2.2677199999999997</v>
      </c>
      <c r="I44" s="508">
        <f>SUBTOTAL(109,Tableau24[DIB])</f>
        <v>177.83409</v>
      </c>
      <c r="J44" s="508">
        <f>SUBTOTAL(109,Tableau24[Déchets d''emballages recyclables])</f>
        <v>12.13334326</v>
      </c>
      <c r="K44" s="508">
        <f>SUBTOTAL(109,Tableau24[Bennes Bois])</f>
        <v>2.0886399999999998</v>
      </c>
      <c r="L44" s="508">
        <f>SUBTOTAL(109,Tableau24[Bennes férailles])</f>
        <v>40.090119999999999</v>
      </c>
      <c r="M44" s="508">
        <f>SUBTOTAL(109,Tableau24[Bennes Gravats])</f>
        <v>5.2483599999999999</v>
      </c>
      <c r="N44" s="508">
        <f>SUBTOTAL(109,Tableau24[Bennes Autres])</f>
        <v>1.86006</v>
      </c>
      <c r="O44" s="528">
        <f>SUBTOTAL(109,Tableau24[Déchets verts])</f>
        <v>10.305848571428573</v>
      </c>
      <c r="P44" s="529"/>
    </row>
    <row r="50" spans="2:8">
      <c r="C50" s="38" t="s">
        <v>1130</v>
      </c>
    </row>
    <row r="53" spans="2:8">
      <c r="B53" s="459" t="str" cm="1">
        <f t="array" ref="B53:H67">TRANSPOSE(Tableau24[[#Headers],[#Data]])</f>
        <v>année</v>
      </c>
      <c r="C53" s="459">
        <v>2015</v>
      </c>
      <c r="D53" s="459">
        <v>2016</v>
      </c>
      <c r="E53" s="459">
        <v>2017</v>
      </c>
      <c r="F53" s="459">
        <v>2018</v>
      </c>
      <c r="G53" s="459">
        <v>2019</v>
      </c>
      <c r="H53" s="459">
        <v>2020</v>
      </c>
    </row>
    <row r="54" spans="2:8">
      <c r="B54" s="459" t="str">
        <v>Papiers-cartons</v>
      </c>
      <c r="C54" s="359">
        <v>15.805579999999999</v>
      </c>
      <c r="D54" s="359">
        <v>16.25442</v>
      </c>
      <c r="E54" s="359">
        <v>11.96754</v>
      </c>
      <c r="F54" s="359">
        <v>6.8812209999999983</v>
      </c>
      <c r="G54" s="359">
        <v>8.0514109999999999</v>
      </c>
      <c r="H54" s="359">
        <v>5.8885059999999996</v>
      </c>
    </row>
    <row r="55" spans="2:8">
      <c r="B55" s="459" t="str">
        <v>Fermentescibles</v>
      </c>
      <c r="C55" s="359">
        <v>5.8186999999999998</v>
      </c>
      <c r="D55" s="359">
        <v>6.5146500000000005</v>
      </c>
      <c r="E55" s="359">
        <v>12.434100000000001</v>
      </c>
      <c r="F55" s="359">
        <v>7.3377000000000008</v>
      </c>
      <c r="G55" s="359">
        <v>10.512828500000001</v>
      </c>
      <c r="H55" s="359">
        <v>4.1032995000000003</v>
      </c>
    </row>
    <row r="56" spans="2:8">
      <c r="B56" s="459" t="str">
        <v>DEEE divers</v>
      </c>
      <c r="C56" s="359">
        <v>10.673249999999999</v>
      </c>
      <c r="D56" s="359">
        <v>8.9176500000000001</v>
      </c>
      <c r="E56" s="359">
        <v>9.8952000000000009</v>
      </c>
      <c r="F56" s="359">
        <v>15.96</v>
      </c>
      <c r="G56" s="359">
        <v>31.002299999999998</v>
      </c>
      <c r="H56" s="359">
        <v>8.1395999999999997</v>
      </c>
    </row>
    <row r="57" spans="2:8">
      <c r="B57" s="459" t="str">
        <v>DEEE dont GEMF</v>
      </c>
      <c r="C57" s="359">
        <v>35.083229999999993</v>
      </c>
      <c r="D57" s="359">
        <v>38.965679999999999</v>
      </c>
      <c r="E57" s="359">
        <v>58.801470000000002</v>
      </c>
      <c r="F57" s="359">
        <v>48.671804999999999</v>
      </c>
      <c r="G57" s="359">
        <v>0</v>
      </c>
      <c r="H57" s="359">
        <v>0</v>
      </c>
    </row>
    <row r="58" spans="2:8">
      <c r="B58" s="459" t="str">
        <v>DEEE Ecrans plats</v>
      </c>
      <c r="C58" s="359">
        <v>3.1654300000000002</v>
      </c>
      <c r="D58" s="359">
        <v>2.7844899999999999</v>
      </c>
      <c r="E58" s="359">
        <v>2.7210000000000001</v>
      </c>
      <c r="F58" s="359">
        <v>1.46027</v>
      </c>
      <c r="G58" s="359">
        <v>2.1858700000000004</v>
      </c>
      <c r="H58" s="359">
        <v>0.74373999999999996</v>
      </c>
    </row>
    <row r="59" spans="2:8">
      <c r="B59" s="459" t="str">
        <v>DEEE GEMHF</v>
      </c>
      <c r="C59" s="359">
        <v>0</v>
      </c>
      <c r="D59" s="359">
        <v>0</v>
      </c>
      <c r="E59" s="359">
        <v>0</v>
      </c>
      <c r="F59" s="359">
        <v>0</v>
      </c>
      <c r="G59" s="359">
        <v>1.5325799999999998</v>
      </c>
      <c r="H59" s="359">
        <v>0.73514000000000002</v>
      </c>
    </row>
    <row r="60" spans="2:8">
      <c r="B60" s="459" t="str">
        <v>DIB</v>
      </c>
      <c r="C60" s="359">
        <v>33.359279999999998</v>
      </c>
      <c r="D60" s="359">
        <v>38.648879999999998</v>
      </c>
      <c r="E60" s="359">
        <v>31.147739999999999</v>
      </c>
      <c r="F60" s="359">
        <v>29.48169</v>
      </c>
      <c r="G60" s="359">
        <v>27.77562</v>
      </c>
      <c r="H60" s="359">
        <v>17.42088</v>
      </c>
    </row>
    <row r="61" spans="2:8">
      <c r="B61" s="459" t="str">
        <v>Déchets d'emballages recyclables</v>
      </c>
      <c r="C61" s="359">
        <v>0.6928970000000001</v>
      </c>
      <c r="D61" s="359">
        <v>0.60688220000000004</v>
      </c>
      <c r="E61" s="359">
        <v>2.0177638500000001</v>
      </c>
      <c r="F61" s="359">
        <v>2.4808101900000001</v>
      </c>
      <c r="G61" s="359">
        <v>3.9014879700000002</v>
      </c>
      <c r="H61" s="359">
        <v>2.4335020499999995</v>
      </c>
    </row>
    <row r="62" spans="2:8">
      <c r="B62" s="459" t="str">
        <v>Bennes Bois</v>
      </c>
      <c r="C62" s="359">
        <v>0</v>
      </c>
      <c r="D62" s="359">
        <v>0</v>
      </c>
      <c r="E62" s="359">
        <v>0</v>
      </c>
      <c r="F62" s="359">
        <v>0</v>
      </c>
      <c r="G62" s="359">
        <v>1.5372000000000001</v>
      </c>
      <c r="H62" s="359">
        <v>0.55143999999999993</v>
      </c>
    </row>
    <row r="63" spans="2:8">
      <c r="B63" s="459" t="str">
        <v>Bennes férailles</v>
      </c>
      <c r="C63" s="359">
        <v>10.974599999999999</v>
      </c>
      <c r="D63" s="359">
        <v>6.1345200000000002</v>
      </c>
      <c r="E63" s="359">
        <v>11.612440000000001</v>
      </c>
      <c r="F63" s="359">
        <v>4.4461199999999996</v>
      </c>
      <c r="G63" s="359">
        <v>6.9224399999999999</v>
      </c>
      <c r="H63" s="359">
        <v>0</v>
      </c>
    </row>
    <row r="64" spans="2:8">
      <c r="B64" s="459" t="str">
        <v>Bennes Gravats</v>
      </c>
      <c r="C64" s="359">
        <v>2.0571199999999998</v>
      </c>
      <c r="D64" s="359">
        <v>0.4355</v>
      </c>
      <c r="E64" s="359">
        <v>0.78155999999999992</v>
      </c>
      <c r="F64" s="359">
        <v>0.50544</v>
      </c>
      <c r="G64" s="359">
        <v>0.32525999999999999</v>
      </c>
      <c r="H64" s="359">
        <v>1.1434800000000001</v>
      </c>
    </row>
    <row r="65" spans="2:8">
      <c r="B65" s="459" t="str">
        <v>Bennes Autres</v>
      </c>
      <c r="C65" s="359">
        <v>0</v>
      </c>
      <c r="D65" s="359">
        <v>0</v>
      </c>
      <c r="E65" s="359">
        <v>0.37584000000000001</v>
      </c>
      <c r="F65" s="359">
        <v>1.0509600000000001</v>
      </c>
      <c r="G65" s="359">
        <v>0.43326000000000003</v>
      </c>
      <c r="H65" s="359">
        <v>0</v>
      </c>
    </row>
    <row r="66" spans="2:8">
      <c r="B66" s="459" t="str">
        <v>Déchets verts</v>
      </c>
      <c r="C66" s="359">
        <v>1.0927628571428571</v>
      </c>
      <c r="D66" s="359">
        <v>3.9351857142857143</v>
      </c>
      <c r="E66" s="359">
        <v>1.8316000000000001</v>
      </c>
      <c r="F66" s="359">
        <v>2.41</v>
      </c>
      <c r="G66" s="359">
        <v>1.0363</v>
      </c>
      <c r="H66" s="359">
        <v>0</v>
      </c>
    </row>
    <row r="67" spans="2:8">
      <c r="B67" s="459" t="str">
        <v>Total année</v>
      </c>
      <c r="C67" s="359">
        <v>118.72284985714283</v>
      </c>
      <c r="D67" s="359">
        <v>123.19785791428571</v>
      </c>
      <c r="E67" s="359">
        <v>143.58625385000002</v>
      </c>
      <c r="F67" s="359">
        <v>120.68601618999998</v>
      </c>
      <c r="G67" s="359">
        <v>95.216557469999998</v>
      </c>
      <c r="H67" s="359">
        <v>41.159587549999998</v>
      </c>
    </row>
    <row r="68" spans="2:8">
      <c r="B68" s="38"/>
    </row>
  </sheetData>
  <mergeCells count="2">
    <mergeCell ref="B24:P24"/>
    <mergeCell ref="B36:P36"/>
  </mergeCells>
  <phoneticPr fontId="84" type="noConversion"/>
  <pageMargins left="0.7" right="0.7" top="0.75" bottom="0.75" header="0.3" footer="0.3"/>
  <pageSetup paperSize="9" orientation="portrait" r:id="rId1"/>
  <drawing r:id="rId2"/>
  <legacyDrawing r:id="rId3"/>
  <tableParts count="3"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CEFE9-1800-47A2-91A5-A9667D25E444}">
  <sheetPr>
    <tabColor theme="5"/>
  </sheetPr>
  <dimension ref="B2:Z52"/>
  <sheetViews>
    <sheetView showGridLines="0" zoomScale="65" zoomScaleNormal="80" workbookViewId="0">
      <selection activeCell="R31" sqref="R31"/>
    </sheetView>
  </sheetViews>
  <sheetFormatPr baseColWidth="10" defaultColWidth="11.44140625" defaultRowHeight="14.4"/>
  <cols>
    <col min="1" max="1" width="9.33203125" customWidth="1"/>
    <col min="2" max="2" width="11.44140625" hidden="1" customWidth="1"/>
    <col min="3" max="3" width="18.44140625" customWidth="1"/>
    <col min="4" max="4" width="22" customWidth="1"/>
    <col min="5" max="5" width="25.44140625" customWidth="1"/>
    <col min="6" max="6" width="16.77734375" customWidth="1"/>
    <col min="13" max="13" width="10.77734375" customWidth="1"/>
    <col min="14" max="14" width="13" customWidth="1"/>
    <col min="15" max="15" width="20.44140625" customWidth="1"/>
    <col min="16" max="16" width="14.109375" customWidth="1"/>
    <col min="17" max="17" width="18.44140625" customWidth="1"/>
    <col min="22" max="22" width="11.33203125" customWidth="1"/>
  </cols>
  <sheetData>
    <row r="2" spans="3:17">
      <c r="D2" s="113"/>
      <c r="F2" s="116"/>
    </row>
    <row r="4" spans="3:17" ht="26.55" customHeight="1">
      <c r="C4" s="696" t="s">
        <v>157</v>
      </c>
      <c r="D4" s="69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</row>
    <row r="5" spans="3:17">
      <c r="C5" s="711" t="s">
        <v>158</v>
      </c>
      <c r="D5" s="711" t="s">
        <v>159</v>
      </c>
      <c r="E5" s="711" t="s">
        <v>160</v>
      </c>
      <c r="F5" s="711" t="s">
        <v>50</v>
      </c>
    </row>
    <row r="6" spans="3:17">
      <c r="C6" s="711"/>
      <c r="D6" s="711"/>
      <c r="E6" s="711"/>
      <c r="F6" s="711"/>
    </row>
    <row r="7" spans="3:17">
      <c r="C7" s="147" t="s">
        <v>161</v>
      </c>
      <c r="D7" s="172">
        <v>296</v>
      </c>
      <c r="E7" s="172">
        <v>5</v>
      </c>
      <c r="F7" s="173">
        <v>0.5</v>
      </c>
    </row>
    <row r="8" spans="3:17">
      <c r="C8" s="174" t="s">
        <v>162</v>
      </c>
      <c r="D8" s="172">
        <v>156</v>
      </c>
      <c r="E8" s="172">
        <v>5</v>
      </c>
      <c r="F8" s="173">
        <v>0.5</v>
      </c>
    </row>
    <row r="9" spans="3:17">
      <c r="C9" s="174" t="s">
        <v>163</v>
      </c>
      <c r="D9" s="172">
        <v>2935</v>
      </c>
      <c r="E9" s="172">
        <v>5</v>
      </c>
      <c r="F9" s="173">
        <v>0.5</v>
      </c>
    </row>
    <row r="10" spans="3:17">
      <c r="C10" s="174" t="s">
        <v>818</v>
      </c>
      <c r="D10" s="172">
        <v>115</v>
      </c>
      <c r="E10" s="172">
        <v>10</v>
      </c>
      <c r="F10" s="173">
        <v>0.3</v>
      </c>
    </row>
    <row r="11" spans="3:17">
      <c r="C11" s="174" t="s">
        <v>819</v>
      </c>
      <c r="D11" s="172">
        <v>34.4</v>
      </c>
      <c r="E11" s="172">
        <v>10</v>
      </c>
      <c r="F11" s="173">
        <v>0.1</v>
      </c>
    </row>
    <row r="12" spans="3:17">
      <c r="C12" s="174" t="s">
        <v>164</v>
      </c>
      <c r="D12" s="172">
        <v>94</v>
      </c>
      <c r="E12" s="172">
        <v>5</v>
      </c>
      <c r="F12" s="173">
        <v>0.75</v>
      </c>
    </row>
    <row r="17" spans="3:26">
      <c r="C17" s="438"/>
    </row>
    <row r="20" spans="3:26" ht="13.8" customHeight="1"/>
    <row r="21" spans="3:26" ht="26.55" customHeight="1">
      <c r="C21" s="695" t="s">
        <v>804</v>
      </c>
      <c r="D21" s="695"/>
      <c r="E21" s="695"/>
      <c r="F21" s="695"/>
      <c r="G21" s="695"/>
      <c r="H21" s="695"/>
      <c r="I21" s="695"/>
      <c r="J21" s="695"/>
      <c r="K21" s="695"/>
      <c r="L21" s="695"/>
      <c r="M21" s="695"/>
      <c r="N21" s="695"/>
      <c r="O21" s="695"/>
      <c r="P21" s="695"/>
      <c r="Q21" s="695"/>
      <c r="R21" s="434"/>
      <c r="S21" s="434"/>
      <c r="T21" s="434"/>
      <c r="U21" s="434"/>
      <c r="V21" s="434"/>
      <c r="W21" s="434"/>
      <c r="X21" s="434"/>
      <c r="Y21" s="434"/>
      <c r="Z21" s="434"/>
    </row>
    <row r="22" spans="3:26" s="39" customFormat="1" ht="23.55" customHeight="1">
      <c r="C22" s="707" t="s">
        <v>805</v>
      </c>
      <c r="D22" s="708"/>
      <c r="E22" s="709"/>
      <c r="F22" s="170"/>
      <c r="G22" s="710" t="s">
        <v>46</v>
      </c>
      <c r="H22" s="710"/>
      <c r="I22" s="710"/>
      <c r="J22" s="171"/>
      <c r="K22" s="694" t="s">
        <v>47</v>
      </c>
      <c r="L22" s="694"/>
      <c r="M22" s="170"/>
      <c r="N22" s="694" t="s">
        <v>14</v>
      </c>
      <c r="O22" s="694"/>
      <c r="P22" s="694"/>
      <c r="Q22" s="694"/>
      <c r="R22" s="435"/>
      <c r="S22" s="435"/>
      <c r="T22" s="439"/>
      <c r="U22" s="440"/>
      <c r="V22" s="440"/>
      <c r="W22" s="440"/>
      <c r="X22" s="440"/>
      <c r="Y22" s="435"/>
      <c r="Z22" s="435"/>
    </row>
    <row r="23" spans="3:26" ht="27.45" customHeight="1">
      <c r="C23" s="704" t="s">
        <v>165</v>
      </c>
      <c r="D23" s="705"/>
      <c r="E23" s="706"/>
      <c r="G23" s="160" t="s">
        <v>806</v>
      </c>
      <c r="H23" s="160" t="s">
        <v>208</v>
      </c>
      <c r="I23" s="160" t="s">
        <v>33</v>
      </c>
      <c r="J23" s="159"/>
      <c r="K23" s="148" t="s">
        <v>208</v>
      </c>
      <c r="L23" s="169" t="s">
        <v>33</v>
      </c>
      <c r="N23" s="697" t="s">
        <v>74</v>
      </c>
      <c r="O23" s="167"/>
      <c r="P23" s="161" t="s">
        <v>206</v>
      </c>
      <c r="Q23" s="161" t="s">
        <v>207</v>
      </c>
    </row>
    <row r="24" spans="3:26" ht="28.8">
      <c r="C24" s="148" t="s">
        <v>167</v>
      </c>
      <c r="D24" s="148" t="s">
        <v>168</v>
      </c>
      <c r="E24" s="148" t="s">
        <v>169</v>
      </c>
      <c r="G24" s="148" t="s">
        <v>188</v>
      </c>
      <c r="H24" s="148">
        <v>1</v>
      </c>
      <c r="I24" s="148">
        <f>ROUND((('Données Immobilisation'!$D$12*H24)/$E$12),2)*0.001</f>
        <v>1.8800000000000001E-2</v>
      </c>
      <c r="K24" s="148">
        <v>110</v>
      </c>
      <c r="L24" s="169">
        <f>ROUND(((K24*'Données Immobilisation'!D9)/E9)*0.001,2)</f>
        <v>64.569999999999993</v>
      </c>
      <c r="N24" s="698"/>
      <c r="O24" s="161" t="s">
        <v>146</v>
      </c>
      <c r="P24" s="162">
        <v>405</v>
      </c>
      <c r="Q24" s="162">
        <v>405</v>
      </c>
    </row>
    <row r="25" spans="3:26" ht="28.8">
      <c r="C25" s="147" t="s">
        <v>172</v>
      </c>
      <c r="D25" s="147">
        <v>902</v>
      </c>
      <c r="E25" s="147">
        <f>('Données Immobilisation'!D8*D25*0.001)/E8</f>
        <v>28.142399999999999</v>
      </c>
      <c r="G25" s="148" t="s">
        <v>189</v>
      </c>
      <c r="H25" s="148">
        <v>1</v>
      </c>
      <c r="I25" s="148">
        <f>ROUND((('Données Immobilisation'!$D$12*H25)/$E$12),2)*0.001</f>
        <v>1.8800000000000001E-2</v>
      </c>
      <c r="N25" s="698"/>
      <c r="O25" s="161" t="s">
        <v>147</v>
      </c>
      <c r="P25" s="163">
        <v>405</v>
      </c>
      <c r="Q25" s="163">
        <v>405</v>
      </c>
    </row>
    <row r="26" spans="3:26">
      <c r="C26" s="147" t="s">
        <v>174</v>
      </c>
      <c r="D26" s="147">
        <v>1445</v>
      </c>
      <c r="E26" s="147">
        <f>('Données Immobilisation'!D7*D26*0.001)/E7</f>
        <v>85.544000000000011</v>
      </c>
      <c r="G26" s="148" t="s">
        <v>121</v>
      </c>
      <c r="H26" s="148">
        <v>3</v>
      </c>
      <c r="I26" s="148">
        <f>ROUND((('Données Immobilisation'!$D$12*H26)/$E$12),2)*0.001</f>
        <v>5.6399999999999999E-2</v>
      </c>
      <c r="N26" s="698"/>
      <c r="O26" s="161" t="s">
        <v>148</v>
      </c>
      <c r="P26" s="163">
        <v>350</v>
      </c>
      <c r="Q26" s="163">
        <v>350</v>
      </c>
    </row>
    <row r="27" spans="3:26">
      <c r="C27" s="88" t="s">
        <v>2</v>
      </c>
      <c r="D27" s="88">
        <f>SUM(D25:D26)</f>
        <v>2347</v>
      </c>
      <c r="E27" s="149">
        <f>SUM(E25:E26)</f>
        <v>113.68640000000001</v>
      </c>
      <c r="G27" s="148" t="s">
        <v>190</v>
      </c>
      <c r="H27" s="148">
        <v>30</v>
      </c>
      <c r="I27" s="148">
        <f>ROUND((('Données Immobilisation'!$D$12*H27)/$E$12),2)*0.001</f>
        <v>0.56400000000000006</v>
      </c>
      <c r="N27" s="698"/>
      <c r="O27" s="161" t="s">
        <v>149</v>
      </c>
      <c r="P27" s="163">
        <v>350</v>
      </c>
      <c r="Q27" s="163">
        <v>350</v>
      </c>
    </row>
    <row r="28" spans="3:26" ht="22.8" customHeight="1">
      <c r="C28" s="704" t="s">
        <v>166</v>
      </c>
      <c r="D28" s="705"/>
      <c r="E28" s="705"/>
      <c r="G28" s="148" t="s">
        <v>191</v>
      </c>
      <c r="H28" s="148">
        <v>9</v>
      </c>
      <c r="I28" s="148">
        <f>ROUND((('Données Immobilisation'!$D$12*H28)/$E$12),2)*0.001</f>
        <v>0.16919999999999999</v>
      </c>
      <c r="N28" s="698"/>
      <c r="O28" s="161" t="s">
        <v>150</v>
      </c>
      <c r="P28" s="163">
        <v>295</v>
      </c>
      <c r="Q28" s="163">
        <v>295</v>
      </c>
    </row>
    <row r="29" spans="3:26" ht="28.8">
      <c r="C29" s="148" t="s">
        <v>170</v>
      </c>
      <c r="D29" s="148" t="s">
        <v>171</v>
      </c>
      <c r="E29" s="148" t="s">
        <v>33</v>
      </c>
      <c r="G29" s="148" t="s">
        <v>122</v>
      </c>
      <c r="H29" s="148">
        <v>1</v>
      </c>
      <c r="I29" s="148">
        <f>ROUND((('Données Immobilisation'!$D$12*H29)/$E$12),2)*0.001</f>
        <v>1.8800000000000001E-2</v>
      </c>
      <c r="N29" s="698"/>
      <c r="O29" s="161" t="s">
        <v>151</v>
      </c>
      <c r="P29" s="163">
        <v>240</v>
      </c>
      <c r="Q29" s="163">
        <v>240</v>
      </c>
    </row>
    <row r="30" spans="3:26" ht="21.45" customHeight="1">
      <c r="C30" s="147" t="s">
        <v>173</v>
      </c>
      <c r="D30" s="147">
        <v>475</v>
      </c>
      <c r="E30" s="147">
        <f>('Données Immobilisation'!$D$8*D30*0.001)/$E$8</f>
        <v>14.820000000000002</v>
      </c>
      <c r="G30" s="148" t="s">
        <v>192</v>
      </c>
      <c r="H30" s="148">
        <v>22</v>
      </c>
      <c r="I30" s="148">
        <f>ROUND((('Données Immobilisation'!$D$12*H30)/$E$12),2)*0.001</f>
        <v>0.41360000000000002</v>
      </c>
      <c r="N30" s="698"/>
      <c r="O30" s="161" t="s">
        <v>209</v>
      </c>
      <c r="P30" s="163">
        <v>170</v>
      </c>
      <c r="Q30" s="163">
        <v>170</v>
      </c>
    </row>
    <row r="31" spans="3:26" ht="43.2">
      <c r="C31" s="147" t="s">
        <v>175</v>
      </c>
      <c r="D31" s="147">
        <v>619</v>
      </c>
      <c r="E31" s="147">
        <f>('Données Immobilisation'!$D$8*D31*0.001)/$E$8</f>
        <v>19.312800000000003</v>
      </c>
      <c r="G31" s="148" t="s">
        <v>193</v>
      </c>
      <c r="H31" s="148">
        <v>10</v>
      </c>
      <c r="I31" s="148">
        <f>ROUND((('Données Immobilisation'!$D$12*H31)/$E$12),2)*0.001</f>
        <v>0.188</v>
      </c>
      <c r="N31" s="698"/>
      <c r="O31" s="164" t="s">
        <v>152</v>
      </c>
      <c r="P31" s="165">
        <v>235</v>
      </c>
      <c r="Q31" s="165">
        <v>235</v>
      </c>
    </row>
    <row r="32" spans="3:26" ht="17.55" customHeight="1">
      <c r="C32" s="147" t="s">
        <v>176</v>
      </c>
      <c r="D32" s="147">
        <v>69</v>
      </c>
      <c r="E32" s="147">
        <f>('Données Immobilisation'!$D$8*D32*0.001)/$E$8</f>
        <v>2.1528</v>
      </c>
      <c r="G32" s="148" t="s">
        <v>194</v>
      </c>
      <c r="H32" s="148">
        <v>17</v>
      </c>
      <c r="I32" s="148">
        <f>ROUND((('Données Immobilisation'!$D$12*H32)/$E$12),2)*0.001</f>
        <v>0.31960000000000005</v>
      </c>
      <c r="N32" s="698"/>
      <c r="O32" s="161" t="s">
        <v>153</v>
      </c>
      <c r="P32" s="163">
        <v>226</v>
      </c>
      <c r="Q32" s="163">
        <v>226</v>
      </c>
    </row>
    <row r="33" spans="3:17">
      <c r="C33" s="147" t="s">
        <v>177</v>
      </c>
      <c r="D33" s="147">
        <v>136</v>
      </c>
      <c r="E33" s="147">
        <f>('Données Immobilisation'!$D$8*D33*0.001)/$E$8</f>
        <v>4.2431999999999999</v>
      </c>
      <c r="G33" s="148" t="s">
        <v>195</v>
      </c>
      <c r="H33" s="148">
        <v>5</v>
      </c>
      <c r="I33" s="148">
        <f>ROUND((('Données Immobilisation'!$D$12*H33)/$E$12),2)*0.001</f>
        <v>9.4E-2</v>
      </c>
      <c r="N33" s="698"/>
      <c r="O33" s="161" t="s">
        <v>210</v>
      </c>
      <c r="P33" s="163">
        <v>202</v>
      </c>
      <c r="Q33" s="163">
        <v>202</v>
      </c>
    </row>
    <row r="34" spans="3:17">
      <c r="C34" s="147" t="s">
        <v>178</v>
      </c>
      <c r="D34" s="147">
        <v>107</v>
      </c>
      <c r="E34" s="147">
        <f>('Données Immobilisation'!$D$8*D34*0.001)/$E$8</f>
        <v>3.3384</v>
      </c>
      <c r="G34" s="148" t="s">
        <v>196</v>
      </c>
      <c r="H34" s="148">
        <v>15</v>
      </c>
      <c r="I34" s="148">
        <f>ROUND((('Données Immobilisation'!$D$12*H34)/$E$12),2)*0.001</f>
        <v>0.28200000000000003</v>
      </c>
      <c r="N34" s="699"/>
      <c r="O34" s="166" t="s">
        <v>211</v>
      </c>
      <c r="P34" s="163">
        <v>223</v>
      </c>
      <c r="Q34" s="163">
        <v>223</v>
      </c>
    </row>
    <row r="35" spans="3:17">
      <c r="C35" s="147" t="s">
        <v>179</v>
      </c>
      <c r="D35" s="147">
        <v>151</v>
      </c>
      <c r="E35" s="147">
        <f>('Données Immobilisation'!$D$8*D35*0.001)/$E$8</f>
        <v>4.7111999999999998</v>
      </c>
      <c r="G35" s="148" t="s">
        <v>130</v>
      </c>
      <c r="H35" s="148">
        <v>1</v>
      </c>
      <c r="I35" s="148">
        <f>ROUND((('Données Immobilisation'!$D$12*H35)/$E$12),2)*0.001</f>
        <v>1.8800000000000001E-2</v>
      </c>
      <c r="N35" s="700" t="s">
        <v>36</v>
      </c>
      <c r="O35" s="701"/>
      <c r="P35" s="88">
        <f>SUM(P24:P34)</f>
        <v>3101</v>
      </c>
      <c r="Q35" s="88">
        <f>SUM(Q24:Q34)</f>
        <v>3101</v>
      </c>
    </row>
    <row r="36" spans="3:17" ht="28.8">
      <c r="C36" s="147" t="s">
        <v>180</v>
      </c>
      <c r="D36" s="147">
        <v>97</v>
      </c>
      <c r="E36" s="147">
        <f>('Données Immobilisation'!$D$8*D36*0.001)/$E$8</f>
        <v>3.0263999999999998</v>
      </c>
      <c r="G36" s="148" t="s">
        <v>197</v>
      </c>
      <c r="H36" s="148">
        <v>21</v>
      </c>
      <c r="I36" s="148">
        <f>ROUND((('Données Immobilisation'!$D$12*H36)/$E$12),2)*0.001</f>
        <v>0.39480000000000004</v>
      </c>
      <c r="N36" s="702" t="s">
        <v>187</v>
      </c>
      <c r="O36" s="703"/>
      <c r="P36" s="147">
        <f>ROUND(((P35*D10)/E10),2)</f>
        <v>35661.5</v>
      </c>
      <c r="Q36" s="147">
        <f>ROUND(((Q35*D11)/E11),2)</f>
        <v>10667.44</v>
      </c>
    </row>
    <row r="37" spans="3:17" ht="29.55" customHeight="1">
      <c r="C37" s="147" t="s">
        <v>181</v>
      </c>
      <c r="D37" s="147">
        <v>102</v>
      </c>
      <c r="E37" s="147">
        <f>('Données Immobilisation'!$D$8*D37*0.001)/$E$8</f>
        <v>3.1824000000000003</v>
      </c>
      <c r="G37" s="148" t="s">
        <v>198</v>
      </c>
      <c r="H37" s="148">
        <v>44</v>
      </c>
      <c r="I37" s="148">
        <f>ROUND((('Données Immobilisation'!$D$12*H37)/$E$12),2)*0.001</f>
        <v>0.82720000000000005</v>
      </c>
      <c r="N37" s="692" t="s">
        <v>33</v>
      </c>
      <c r="O37" s="693"/>
      <c r="P37" s="168">
        <f>ROUND(P36*0.001,2)</f>
        <v>35.659999999999997</v>
      </c>
      <c r="Q37" s="168">
        <f>ROUND(Q36*0.001,2)</f>
        <v>10.67</v>
      </c>
    </row>
    <row r="38" spans="3:17" ht="31.8" customHeight="1">
      <c r="C38" s="147" t="s">
        <v>182</v>
      </c>
      <c r="D38" s="147">
        <v>206</v>
      </c>
      <c r="E38" s="147">
        <f>('Données Immobilisation'!$D$8*D38*0.001)/$E$8</f>
        <v>6.4272000000000009</v>
      </c>
      <c r="G38" s="148" t="s">
        <v>199</v>
      </c>
      <c r="H38" s="148">
        <v>19</v>
      </c>
      <c r="I38" s="148">
        <f>ROUND((('Données Immobilisation'!$D$12*H38)/$E$12),2)*0.001</f>
        <v>0.35720000000000002</v>
      </c>
    </row>
    <row r="39" spans="3:17" ht="28.8">
      <c r="C39" s="147" t="s">
        <v>183</v>
      </c>
      <c r="D39" s="147">
        <v>276</v>
      </c>
      <c r="E39" s="147">
        <f>('Données Immobilisation'!$D$8*D39*0.001)/$E$8</f>
        <v>8.6112000000000002</v>
      </c>
      <c r="G39" s="148" t="s">
        <v>87</v>
      </c>
      <c r="H39" s="148">
        <v>22</v>
      </c>
      <c r="I39" s="148">
        <f>ROUND((('Données Immobilisation'!$D$12*H39)/$E$12),2)*0.001</f>
        <v>0.41360000000000002</v>
      </c>
    </row>
    <row r="40" spans="3:17">
      <c r="C40" s="147" t="s">
        <v>184</v>
      </c>
      <c r="D40" s="147">
        <v>104</v>
      </c>
      <c r="E40" s="147">
        <f>('Données Immobilisation'!$D$8*D40*0.001)/$E$8</f>
        <v>3.2448000000000001</v>
      </c>
      <c r="G40" s="148" t="s">
        <v>200</v>
      </c>
      <c r="H40" s="148">
        <v>8</v>
      </c>
      <c r="I40" s="148">
        <f>ROUND((('Données Immobilisation'!$D$12*H40)/$E$12),2)*0.001</f>
        <v>0.15040000000000001</v>
      </c>
    </row>
    <row r="41" spans="3:17" ht="28.8">
      <c r="C41" s="147" t="s">
        <v>185</v>
      </c>
      <c r="D41" s="147">
        <v>82</v>
      </c>
      <c r="E41" s="147">
        <f>('Données Immobilisation'!$D$8*D41*0.001)/$E$8</f>
        <v>2.5583999999999998</v>
      </c>
      <c r="G41" s="148" t="s">
        <v>201</v>
      </c>
      <c r="H41" s="148">
        <v>15</v>
      </c>
      <c r="I41" s="148">
        <f>ROUND((('Données Immobilisation'!$D$12*H41)/$E$12),2)*0.001</f>
        <v>0.28200000000000003</v>
      </c>
    </row>
    <row r="42" spans="3:17">
      <c r="C42" s="147" t="s">
        <v>186</v>
      </c>
      <c r="D42" s="147">
        <v>54</v>
      </c>
      <c r="E42" s="147">
        <f>('Données Immobilisation'!$D$8*D42*0.001)/$E$8</f>
        <v>1.6847999999999999</v>
      </c>
      <c r="G42" s="148" t="s">
        <v>97</v>
      </c>
      <c r="H42" s="148">
        <v>30</v>
      </c>
      <c r="I42" s="148">
        <f>ROUND((('Données Immobilisation'!$D$12*H42)/$E$12),2)*0.001</f>
        <v>0.56400000000000006</v>
      </c>
    </row>
    <row r="43" spans="3:17" ht="28.8">
      <c r="C43" s="88" t="s">
        <v>36</v>
      </c>
      <c r="D43" s="88">
        <f>SUM(D30:D42)</f>
        <v>2478</v>
      </c>
      <c r="E43" s="149">
        <f>ROUND(SUM(E29:E42),2)</f>
        <v>77.31</v>
      </c>
      <c r="G43" s="148" t="s">
        <v>114</v>
      </c>
      <c r="H43" s="148">
        <v>8</v>
      </c>
      <c r="I43" s="148">
        <f>ROUND((('Données Immobilisation'!$D$12*H43)/$E$12),2)*0.001</f>
        <v>0.15040000000000001</v>
      </c>
    </row>
    <row r="44" spans="3:17" ht="28.8">
      <c r="G44" s="148" t="s">
        <v>202</v>
      </c>
      <c r="H44" s="148">
        <v>26</v>
      </c>
      <c r="I44" s="148">
        <f>ROUND((('Données Immobilisation'!$D$12*H44)/$E$12),2)*0.001</f>
        <v>0.48880000000000001</v>
      </c>
    </row>
    <row r="45" spans="3:17">
      <c r="G45" s="148" t="s">
        <v>203</v>
      </c>
      <c r="H45" s="148">
        <v>1</v>
      </c>
      <c r="I45" s="148">
        <f>ROUND((('Données Immobilisation'!$D$12*H45)/$E$12),2)*0.001</f>
        <v>1.8800000000000001E-2</v>
      </c>
    </row>
    <row r="46" spans="3:17">
      <c r="G46" s="148" t="s">
        <v>107</v>
      </c>
      <c r="H46" s="148">
        <v>10</v>
      </c>
      <c r="I46" s="148">
        <f>ROUND((('Données Immobilisation'!$D$12*H46)/$E$12),2)*0.001</f>
        <v>0.188</v>
      </c>
    </row>
    <row r="47" spans="3:17">
      <c r="G47" s="148" t="s">
        <v>204</v>
      </c>
      <c r="H47" s="148">
        <v>1</v>
      </c>
      <c r="I47" s="148">
        <f>ROUND((('Données Immobilisation'!$D$12*H47)/$E$12),2)*0.001</f>
        <v>1.8800000000000001E-2</v>
      </c>
    </row>
    <row r="48" spans="3:17" ht="28.8">
      <c r="G48" s="148" t="s">
        <v>88</v>
      </c>
      <c r="H48" s="148">
        <v>3</v>
      </c>
      <c r="I48" s="148">
        <f>ROUND((('Données Immobilisation'!$D$12*H48)/$E$12),2)*0.001</f>
        <v>5.6399999999999999E-2</v>
      </c>
    </row>
    <row r="49" spans="7:9">
      <c r="G49" s="148" t="s">
        <v>205</v>
      </c>
      <c r="H49" s="148">
        <v>13</v>
      </c>
      <c r="I49" s="148">
        <f>ROUND((('Données Immobilisation'!$D$12*H49)/$E$12),2)*0.001</f>
        <v>0.24440000000000001</v>
      </c>
    </row>
    <row r="50" spans="7:9">
      <c r="G50" s="88" t="s">
        <v>2</v>
      </c>
      <c r="H50" s="88">
        <f>SUM(H24:H49)</f>
        <v>336</v>
      </c>
      <c r="I50" s="149">
        <f>SUM(I24:I49)</f>
        <v>6.3168000000000006</v>
      </c>
    </row>
    <row r="52" spans="7:9">
      <c r="G52" s="49"/>
      <c r="H52" s="49"/>
      <c r="I52" s="49"/>
    </row>
  </sheetData>
  <mergeCells count="16">
    <mergeCell ref="N37:O37"/>
    <mergeCell ref="K22:L22"/>
    <mergeCell ref="N22:Q22"/>
    <mergeCell ref="C21:Q21"/>
    <mergeCell ref="C4:Q4"/>
    <mergeCell ref="N23:N34"/>
    <mergeCell ref="N35:O35"/>
    <mergeCell ref="N36:O36"/>
    <mergeCell ref="C23:E23"/>
    <mergeCell ref="C28:E28"/>
    <mergeCell ref="C22:E22"/>
    <mergeCell ref="G22:I22"/>
    <mergeCell ref="C5:C6"/>
    <mergeCell ref="D5:D6"/>
    <mergeCell ref="E5:E6"/>
    <mergeCell ref="F5:F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9EC35-3AF0-40F1-B6FF-BC3CE97485CA}">
  <sheetPr>
    <tabColor theme="5"/>
  </sheetPr>
  <dimension ref="A2:Y53"/>
  <sheetViews>
    <sheetView showGridLines="0" zoomScale="80" workbookViewId="0">
      <selection activeCell="E33" sqref="E33"/>
    </sheetView>
  </sheetViews>
  <sheetFormatPr baseColWidth="10" defaultRowHeight="14.4"/>
  <cols>
    <col min="2" max="2" width="30" bestFit="1" customWidth="1"/>
    <col min="3" max="3" width="16.33203125" bestFit="1" customWidth="1"/>
    <col min="4" max="4" width="18.88671875" bestFit="1" customWidth="1"/>
    <col min="5" max="5" width="14.6640625" bestFit="1" customWidth="1"/>
    <col min="6" max="6" width="9.6640625" bestFit="1" customWidth="1"/>
    <col min="7" max="7" width="8.21875" bestFit="1" customWidth="1"/>
    <col min="8" max="8" width="10.109375" bestFit="1" customWidth="1"/>
    <col min="9" max="9" width="4.6640625" bestFit="1" customWidth="1"/>
    <col min="10" max="10" width="10.44140625" customWidth="1"/>
    <col min="11" max="11" width="25.77734375" bestFit="1" customWidth="1"/>
    <col min="12" max="12" width="12.109375" bestFit="1" customWidth="1"/>
    <col min="13" max="13" width="52" bestFit="1" customWidth="1"/>
    <col min="14" max="24" width="9.44140625" customWidth="1"/>
  </cols>
  <sheetData>
    <row r="2" spans="1:24" ht="15.6">
      <c r="B2" s="453" t="s">
        <v>1056</v>
      </c>
      <c r="C2" s="457" t="s">
        <v>1051</v>
      </c>
      <c r="D2" s="457" t="s">
        <v>1050</v>
      </c>
      <c r="E2" s="457" t="s">
        <v>1017</v>
      </c>
      <c r="F2" s="457" t="s">
        <v>1018</v>
      </c>
      <c r="G2" s="457" t="s">
        <v>1019</v>
      </c>
      <c r="H2" s="457" t="s">
        <v>1020</v>
      </c>
      <c r="I2" s="457" t="s">
        <v>1021</v>
      </c>
      <c r="J2" s="457" t="s">
        <v>1052</v>
      </c>
      <c r="K2" s="454" t="s">
        <v>1049</v>
      </c>
      <c r="L2" s="438"/>
      <c r="M2" s="438"/>
      <c r="N2" s="438"/>
      <c r="O2" s="438"/>
      <c r="P2" s="438"/>
      <c r="Q2" s="438"/>
      <c r="R2" s="438"/>
      <c r="S2" s="438"/>
      <c r="T2" s="438"/>
      <c r="U2" s="438"/>
    </row>
    <row r="3" spans="1:24" ht="15.6">
      <c r="B3" s="447" t="s">
        <v>965</v>
      </c>
      <c r="C3" s="443">
        <v>40179</v>
      </c>
      <c r="D3" s="443"/>
      <c r="E3" s="442" t="s">
        <v>966</v>
      </c>
      <c r="F3" s="441" t="s">
        <v>967</v>
      </c>
      <c r="G3" s="441"/>
      <c r="H3" s="441" t="s">
        <v>945</v>
      </c>
      <c r="I3" s="441">
        <v>134</v>
      </c>
      <c r="J3" s="441">
        <v>1400</v>
      </c>
      <c r="K3" s="448"/>
    </row>
    <row r="4" spans="1:24" ht="15.6">
      <c r="B4" s="447" t="s">
        <v>968</v>
      </c>
      <c r="C4" s="443">
        <v>42736</v>
      </c>
      <c r="D4" s="443"/>
      <c r="E4" s="442" t="s">
        <v>195</v>
      </c>
      <c r="F4" s="444" t="s">
        <v>969</v>
      </c>
      <c r="G4" s="444" t="s">
        <v>970</v>
      </c>
      <c r="H4" s="445" t="s">
        <v>964</v>
      </c>
      <c r="I4" s="441">
        <v>120</v>
      </c>
      <c r="J4" s="441">
        <v>1400</v>
      </c>
      <c r="K4" s="449"/>
    </row>
    <row r="5" spans="1:24" ht="15.6">
      <c r="B5" s="447" t="s">
        <v>971</v>
      </c>
      <c r="C5" s="443">
        <v>35796</v>
      </c>
      <c r="D5" s="443"/>
      <c r="E5" s="442" t="s">
        <v>972</v>
      </c>
      <c r="F5" s="441" t="s">
        <v>973</v>
      </c>
      <c r="G5" s="441"/>
      <c r="H5" s="441"/>
      <c r="I5" s="441"/>
      <c r="J5" s="441">
        <v>130</v>
      </c>
      <c r="K5" s="448"/>
    </row>
    <row r="6" spans="1:24" ht="15.6">
      <c r="B6" s="447" t="s">
        <v>974</v>
      </c>
      <c r="C6" s="443">
        <v>38353</v>
      </c>
      <c r="D6" s="443"/>
      <c r="E6" s="442" t="s">
        <v>185</v>
      </c>
      <c r="F6" s="441"/>
      <c r="G6" s="441"/>
      <c r="H6" s="441"/>
      <c r="I6" s="441"/>
      <c r="J6" s="446">
        <v>120</v>
      </c>
      <c r="K6" s="448"/>
      <c r="M6" s="459" t="s">
        <v>32</v>
      </c>
      <c r="N6" s="460">
        <v>40179</v>
      </c>
      <c r="O6" s="460">
        <v>40544</v>
      </c>
      <c r="P6" s="460">
        <v>40909</v>
      </c>
      <c r="Q6" s="460">
        <v>41275</v>
      </c>
      <c r="R6" s="460">
        <v>41640</v>
      </c>
      <c r="S6" s="460">
        <v>42005</v>
      </c>
      <c r="T6" s="460">
        <v>42370</v>
      </c>
      <c r="U6" s="460">
        <v>42736</v>
      </c>
      <c r="V6" s="460">
        <v>43101</v>
      </c>
      <c r="W6" s="460">
        <v>43466</v>
      </c>
      <c r="X6" s="460">
        <v>43831</v>
      </c>
    </row>
    <row r="7" spans="1:24" ht="15.6">
      <c r="A7" t="s">
        <v>1107</v>
      </c>
      <c r="B7" s="447" t="s">
        <v>975</v>
      </c>
      <c r="C7" s="443">
        <v>42370</v>
      </c>
      <c r="D7" s="443">
        <v>44119</v>
      </c>
      <c r="E7" s="442" t="s">
        <v>976</v>
      </c>
      <c r="F7" s="444" t="s">
        <v>969</v>
      </c>
      <c r="G7" s="444" t="s">
        <v>977</v>
      </c>
      <c r="H7" s="445" t="s">
        <v>978</v>
      </c>
      <c r="I7" s="441">
        <v>79</v>
      </c>
      <c r="J7" s="441">
        <v>1250</v>
      </c>
      <c r="K7" s="449" t="s">
        <v>1036</v>
      </c>
      <c r="M7" s="459" t="s">
        <v>1053</v>
      </c>
      <c r="N7" s="462" cm="1">
        <f t="array" ref="N7">SUM(IF(($C3:$C80&lt;=N6)*(ISBLANK($D3:$D80)+(YEAR($D3:$D80)&gt;YEAR(N6))),1,IF(YEAR($C3:$C80)=YEAR(N6),(13-MONTH($C3:$C80))/12,IF(YEAR($D3:$D80)=YEAR(N6),MONTH($D3:$D80)/12,0)))*$J$3:$J$80)</f>
        <v>17500</v>
      </c>
      <c r="O7" s="462" cm="1">
        <f t="array" ref="O7">SUM(IF(($C3:$C80&lt;=O6)*(ISBLANK($D3:$D80)+(YEAR($D3:$D80)&gt;YEAR(O6))),1,IF(YEAR($C3:$C80)=YEAR(O6),(13-MONTH($C3:$C80))/12,IF(YEAR($D3:$D80)=YEAR(O6),MONTH($D3:$D80)/12,0)))*$J$3:$J$80)</f>
        <v>18800</v>
      </c>
      <c r="P7" s="462" cm="1">
        <f t="array" ref="P7">SUM(IF(($C3:$C80&lt;=P6)*(ISBLANK($D3:$D80)+(YEAR($D3:$D80)&gt;YEAR(P6))),1,IF(YEAR($C3:$C80)=YEAR(P6),(13-MONTH($C3:$C80))/12,IF(YEAR($D3:$D80)=YEAR(P6),MONTH($D3:$D80)/12,0)))*$J$3:$J$80)</f>
        <v>20500</v>
      </c>
      <c r="Q7" s="462" cm="1">
        <f t="array" ref="Q7">SUM(IF(($C3:$C80&lt;=Q6)*(ISBLANK($D3:$D80)+(YEAR($D3:$D80)&gt;YEAR(Q6))),1,IF(YEAR($C3:$C80)=YEAR(Q6),(13-MONTH($C3:$C80))/12,IF(YEAR($D3:$D80)=YEAR(Q6),MONTH($D3:$D80)/12,0)))*$J$3:$J$80)</f>
        <v>20500</v>
      </c>
      <c r="R7" s="462" cm="1">
        <f t="array" ref="R7">SUM(IF(($C3:$C80&lt;=R6)*(ISBLANK($D3:$D80)+(YEAR($D3:$D80)&gt;YEAR(R6))),1,IF(YEAR($C3:$C80)=YEAR(R6),(13-MONTH($C3:$C80))/12,IF(YEAR($D3:$D80)=YEAR(R6),MONTH($D3:$D80)/12,0)))*$J$3:$J$80)</f>
        <v>20500</v>
      </c>
      <c r="S7" s="462" cm="1">
        <f t="array" ref="S7">SUM(IF(($C3:$C80&lt;=S6)*(ISBLANK($D3:$D80)+(YEAR($D3:$D80)&gt;YEAR(S6))),1,IF(YEAR($C3:$C80)=YEAR(S6),(13-MONTH($C3:$C80))/12,IF(YEAR($D3:$D80)=YEAR(S6),MONTH($D3:$D80)/12,0)))*$J$3:$J$80)</f>
        <v>20500</v>
      </c>
      <c r="T7" s="462" cm="1">
        <f t="array" ref="T7">SUM(IF(($C3:$C80&lt;=T6)*(ISBLANK($D3:$D80)+(YEAR($D3:$D80)&gt;YEAR(T6))),1,IF(YEAR($C3:$C80)=YEAR(T6),(13-MONTH($C3:$C80))/12,IF(YEAR($D3:$D80)=YEAR(T6),MONTH($D3:$D80)/12,0)))*$J$3:$J$80)</f>
        <v>30440</v>
      </c>
      <c r="U7" s="462" cm="1">
        <f t="array" ref="U7">SUM(IF(($C3:$C80&lt;=U6)*(ISBLANK($D3:$D80)+(YEAR($D3:$D80)&gt;YEAR(U6))),1,IF(YEAR($C3:$C80)=YEAR(U6),(13-MONTH($C3:$C80))/12,IF(YEAR($D3:$D80)=YEAR(U6),MONTH($D3:$D80)/12,0)))*$J$3:$J$80)</f>
        <v>33240</v>
      </c>
      <c r="V7" s="462" cm="1">
        <f t="array" ref="V7">SUM(IF(($C3:$C80&lt;=V6)*(ISBLANK($D3:$D80)+(YEAR($D3:$D80)&gt;YEAR(V6))),1,IF(YEAR($C3:$C80)=YEAR(V6),(13-MONTH($C3:$C80))/12,IF(YEAR($D3:$D80)=YEAR(V6),MONTH($D3:$D80)/12,0)))*$J$3:$J$80)</f>
        <v>36823.333333333336</v>
      </c>
      <c r="W7" s="462" cm="1">
        <f t="array" ref="W7">SUM(IF(($C3:$C80&lt;=W6)*(ISBLANK($D3:$D80)+(YEAR($D3:$D80)&gt;YEAR(W6))),1,IF(YEAR($C3:$C80)=YEAR(W6),(13-MONTH($C3:$C80))/12,IF(YEAR($D3:$D80)=YEAR(W6),MONTH($D3:$D80)/12,0)))*$J$3:$J$80)</f>
        <v>42290</v>
      </c>
      <c r="X7" s="462" cm="1">
        <f t="array" ref="X7">SUM(IF(($C3:$C80&lt;=X6)*(ISBLANK($D3:$D80)+(YEAR($D3:$D80)&gt;YEAR(X6))),1,IF(YEAR($C3:$C80)=YEAR(X6),(13-MONTH($C3:$C80))/12,IF(YEAR($D3:$D80)=YEAR(X6),MONTH($D3:$D80)/12,0)))*$J$3:$J$80)</f>
        <v>45468.333333333336</v>
      </c>
    </row>
    <row r="8" spans="1:24" ht="15.6">
      <c r="B8" s="447" t="s">
        <v>979</v>
      </c>
      <c r="C8" s="443">
        <v>37257</v>
      </c>
      <c r="D8" s="443"/>
      <c r="E8" s="442" t="s">
        <v>980</v>
      </c>
      <c r="F8" s="441" t="s">
        <v>967</v>
      </c>
      <c r="G8" s="441"/>
      <c r="H8" s="441" t="s">
        <v>981</v>
      </c>
      <c r="I8" s="441" t="s">
        <v>897</v>
      </c>
      <c r="J8" s="441">
        <v>1100</v>
      </c>
      <c r="K8" s="448"/>
      <c r="M8" s="459" t="s">
        <v>1054</v>
      </c>
      <c r="N8" s="461">
        <v>5.5</v>
      </c>
      <c r="O8" s="461">
        <v>5.5</v>
      </c>
      <c r="P8" s="461">
        <v>5.5</v>
      </c>
      <c r="Q8" s="461">
        <v>5.5</v>
      </c>
      <c r="R8" s="461">
        <v>5.5</v>
      </c>
      <c r="S8" s="461">
        <v>5.5</v>
      </c>
      <c r="T8" s="461">
        <v>5.5</v>
      </c>
      <c r="U8" s="461">
        <v>5.5</v>
      </c>
      <c r="V8" s="461">
        <v>5.5</v>
      </c>
      <c r="W8" s="461">
        <v>5.5</v>
      </c>
      <c r="X8" s="461">
        <v>5.5</v>
      </c>
    </row>
    <row r="9" spans="1:24" ht="15.6">
      <c r="B9" s="447" t="s">
        <v>982</v>
      </c>
      <c r="C9" s="443">
        <v>38353</v>
      </c>
      <c r="D9" s="443"/>
      <c r="E9" s="442" t="s">
        <v>980</v>
      </c>
      <c r="F9" s="441" t="s">
        <v>967</v>
      </c>
      <c r="G9" s="441"/>
      <c r="H9" s="441" t="s">
        <v>981</v>
      </c>
      <c r="I9" s="441"/>
      <c r="J9" s="441">
        <v>1700</v>
      </c>
      <c r="K9" s="448"/>
      <c r="M9" s="459" t="s">
        <v>1057</v>
      </c>
      <c r="N9" s="463">
        <v>0.5</v>
      </c>
      <c r="O9" s="463">
        <v>0.5</v>
      </c>
      <c r="P9" s="463">
        <v>0.5</v>
      </c>
      <c r="Q9" s="463">
        <v>0.5</v>
      </c>
      <c r="R9" s="463">
        <v>0.5</v>
      </c>
      <c r="S9" s="463">
        <v>0.5</v>
      </c>
      <c r="T9" s="463">
        <v>0.5</v>
      </c>
      <c r="U9" s="463">
        <v>0.5</v>
      </c>
      <c r="V9" s="463">
        <v>0.5</v>
      </c>
      <c r="W9" s="463">
        <v>0.5</v>
      </c>
      <c r="X9" s="463">
        <v>0.5</v>
      </c>
    </row>
    <row r="10" spans="1:24" ht="15.6">
      <c r="B10" s="447" t="s">
        <v>983</v>
      </c>
      <c r="C10" s="443">
        <v>43101</v>
      </c>
      <c r="D10" s="443"/>
      <c r="E10" s="442" t="s">
        <v>984</v>
      </c>
      <c r="F10" s="441" t="s">
        <v>967</v>
      </c>
      <c r="G10" s="441"/>
      <c r="H10" s="441" t="s">
        <v>985</v>
      </c>
      <c r="I10" s="441">
        <v>139</v>
      </c>
      <c r="J10" s="441">
        <v>1750</v>
      </c>
      <c r="K10" s="449" t="s">
        <v>1037</v>
      </c>
      <c r="M10" s="459" t="s">
        <v>1055</v>
      </c>
      <c r="N10" s="461">
        <v>15</v>
      </c>
      <c r="O10" s="461">
        <v>15</v>
      </c>
      <c r="P10" s="461">
        <v>15</v>
      </c>
      <c r="Q10" s="461">
        <v>15</v>
      </c>
      <c r="R10" s="461">
        <v>15</v>
      </c>
      <c r="S10" s="461">
        <v>15</v>
      </c>
      <c r="T10" s="461">
        <v>15</v>
      </c>
      <c r="U10" s="461">
        <v>15</v>
      </c>
      <c r="V10" s="461">
        <v>15</v>
      </c>
      <c r="W10" s="461">
        <v>15</v>
      </c>
      <c r="X10" s="461">
        <v>15</v>
      </c>
    </row>
    <row r="11" spans="1:24" ht="15.6">
      <c r="B11" s="447" t="s">
        <v>986</v>
      </c>
      <c r="C11" s="443">
        <v>42370</v>
      </c>
      <c r="D11" s="443">
        <v>43990</v>
      </c>
      <c r="E11" s="442" t="s">
        <v>987</v>
      </c>
      <c r="F11" s="441" t="s">
        <v>988</v>
      </c>
      <c r="G11" s="441"/>
      <c r="H11" s="441" t="s">
        <v>989</v>
      </c>
      <c r="I11" s="441">
        <v>0</v>
      </c>
      <c r="J11" s="441">
        <v>520</v>
      </c>
      <c r="K11" s="450" t="s">
        <v>1038</v>
      </c>
      <c r="M11" s="459" t="s">
        <v>321</v>
      </c>
      <c r="N11" s="462">
        <f t="shared" ref="N11:X11" si="0">N7*N8/N10</f>
        <v>6416.666666666667</v>
      </c>
      <c r="O11" s="462">
        <f t="shared" si="0"/>
        <v>6893.333333333333</v>
      </c>
      <c r="P11" s="462">
        <f t="shared" si="0"/>
        <v>7516.666666666667</v>
      </c>
      <c r="Q11" s="462">
        <f t="shared" si="0"/>
        <v>7516.666666666667</v>
      </c>
      <c r="R11" s="462">
        <f t="shared" si="0"/>
        <v>7516.666666666667</v>
      </c>
      <c r="S11" s="462">
        <f t="shared" si="0"/>
        <v>7516.666666666667</v>
      </c>
      <c r="T11" s="462">
        <f t="shared" si="0"/>
        <v>11161.333333333334</v>
      </c>
      <c r="U11" s="462">
        <f t="shared" si="0"/>
        <v>12188</v>
      </c>
      <c r="V11" s="462">
        <f t="shared" si="0"/>
        <v>13501.888888888889</v>
      </c>
      <c r="W11" s="462">
        <f t="shared" si="0"/>
        <v>15506.333333333334</v>
      </c>
      <c r="X11" s="462">
        <f t="shared" si="0"/>
        <v>16671.722222222223</v>
      </c>
    </row>
    <row r="12" spans="1:24" ht="15.6">
      <c r="B12" s="447" t="s">
        <v>986</v>
      </c>
      <c r="C12" s="443">
        <v>42370</v>
      </c>
      <c r="D12" s="443">
        <v>43990</v>
      </c>
      <c r="E12" s="442" t="s">
        <v>987</v>
      </c>
      <c r="F12" s="441" t="s">
        <v>988</v>
      </c>
      <c r="G12" s="441"/>
      <c r="H12" s="441" t="s">
        <v>989</v>
      </c>
      <c r="I12" s="441">
        <v>0</v>
      </c>
      <c r="J12" s="441">
        <v>520</v>
      </c>
      <c r="K12" s="450" t="s">
        <v>1038</v>
      </c>
      <c r="M12" s="459" t="s">
        <v>1058</v>
      </c>
      <c r="N12" s="462">
        <f>N11*N9</f>
        <v>3208.3333333333335</v>
      </c>
      <c r="O12" s="462">
        <f t="shared" ref="O12:X12" si="1">O11*O9</f>
        <v>3446.6666666666665</v>
      </c>
      <c r="P12" s="462">
        <f t="shared" si="1"/>
        <v>3758.3333333333335</v>
      </c>
      <c r="Q12" s="462">
        <f t="shared" si="1"/>
        <v>3758.3333333333335</v>
      </c>
      <c r="R12" s="462">
        <f t="shared" si="1"/>
        <v>3758.3333333333335</v>
      </c>
      <c r="S12" s="462">
        <f t="shared" si="1"/>
        <v>3758.3333333333335</v>
      </c>
      <c r="T12" s="462">
        <f t="shared" si="1"/>
        <v>5580.666666666667</v>
      </c>
      <c r="U12" s="462">
        <f t="shared" si="1"/>
        <v>6094</v>
      </c>
      <c r="V12" s="462">
        <f t="shared" si="1"/>
        <v>6750.9444444444443</v>
      </c>
      <c r="W12" s="462">
        <f t="shared" si="1"/>
        <v>7753.166666666667</v>
      </c>
      <c r="X12" s="462">
        <f t="shared" si="1"/>
        <v>8335.8611111111113</v>
      </c>
    </row>
    <row r="13" spans="1:24" ht="15.6">
      <c r="B13" s="447" t="s">
        <v>986</v>
      </c>
      <c r="C13" s="443">
        <v>43990</v>
      </c>
      <c r="D13" s="443"/>
      <c r="E13" s="442" t="s">
        <v>987</v>
      </c>
      <c r="F13" s="441" t="s">
        <v>990</v>
      </c>
      <c r="G13" s="441"/>
      <c r="H13" s="441" t="s">
        <v>989</v>
      </c>
      <c r="I13" s="441">
        <v>0</v>
      </c>
      <c r="J13" s="441">
        <v>520</v>
      </c>
      <c r="K13" s="450" t="s">
        <v>1039</v>
      </c>
    </row>
    <row r="14" spans="1:24" ht="15.6">
      <c r="B14" s="447" t="s">
        <v>986</v>
      </c>
      <c r="C14" s="443">
        <v>43990</v>
      </c>
      <c r="D14" s="443"/>
      <c r="E14" s="442" t="s">
        <v>987</v>
      </c>
      <c r="F14" s="441" t="s">
        <v>990</v>
      </c>
      <c r="G14" s="441"/>
      <c r="H14" s="441" t="s">
        <v>989</v>
      </c>
      <c r="I14" s="441">
        <v>0</v>
      </c>
      <c r="J14" s="441">
        <v>520</v>
      </c>
      <c r="K14" s="450" t="s">
        <v>1039</v>
      </c>
    </row>
    <row r="15" spans="1:24" ht="15.6">
      <c r="B15" s="447" t="s">
        <v>991</v>
      </c>
      <c r="C15" s="443">
        <v>42370</v>
      </c>
      <c r="D15" s="443"/>
      <c r="E15" s="442" t="s">
        <v>992</v>
      </c>
      <c r="F15" s="441" t="s">
        <v>993</v>
      </c>
      <c r="G15" s="441"/>
      <c r="H15" s="441" t="s">
        <v>981</v>
      </c>
      <c r="I15" s="441">
        <v>145</v>
      </c>
      <c r="J15" s="441">
        <v>1850</v>
      </c>
      <c r="K15" s="451"/>
    </row>
    <row r="16" spans="1:24" ht="15.6">
      <c r="B16" s="447" t="s">
        <v>994</v>
      </c>
      <c r="C16" s="443">
        <v>42370</v>
      </c>
      <c r="D16" s="443"/>
      <c r="E16" s="442" t="s">
        <v>966</v>
      </c>
      <c r="F16" s="441" t="s">
        <v>967</v>
      </c>
      <c r="G16" s="441"/>
      <c r="H16" s="441" t="s">
        <v>989</v>
      </c>
      <c r="I16" s="441">
        <v>0</v>
      </c>
      <c r="J16" s="441">
        <v>1400</v>
      </c>
      <c r="K16" s="451"/>
    </row>
    <row r="17" spans="2:24" ht="15.6">
      <c r="B17" s="447" t="s">
        <v>995</v>
      </c>
      <c r="C17" s="443">
        <v>42736</v>
      </c>
      <c r="D17" s="443"/>
      <c r="E17" s="442" t="s">
        <v>992</v>
      </c>
      <c r="F17" s="445" t="s">
        <v>969</v>
      </c>
      <c r="G17" s="441" t="s">
        <v>1048</v>
      </c>
      <c r="H17" s="441" t="s">
        <v>981</v>
      </c>
      <c r="I17" s="441">
        <v>119</v>
      </c>
      <c r="J17" s="441">
        <v>1400</v>
      </c>
      <c r="K17" s="451"/>
    </row>
    <row r="18" spans="2:24" ht="15.6">
      <c r="B18" s="447" t="s">
        <v>996</v>
      </c>
      <c r="C18" s="443">
        <v>43433</v>
      </c>
      <c r="D18" s="443"/>
      <c r="E18" s="442" t="s">
        <v>992</v>
      </c>
      <c r="F18" s="445" t="s">
        <v>969</v>
      </c>
      <c r="G18" s="441" t="s">
        <v>1048</v>
      </c>
      <c r="H18" s="441" t="s">
        <v>964</v>
      </c>
      <c r="I18" s="441">
        <v>140</v>
      </c>
      <c r="J18" s="441">
        <v>1400</v>
      </c>
      <c r="K18" s="451" t="s">
        <v>1040</v>
      </c>
    </row>
    <row r="19" spans="2:24" ht="15.6">
      <c r="B19" s="447" t="s">
        <v>997</v>
      </c>
      <c r="C19" s="443">
        <v>43528</v>
      </c>
      <c r="D19" s="443"/>
      <c r="E19" s="442" t="s">
        <v>185</v>
      </c>
      <c r="F19" s="441" t="s">
        <v>967</v>
      </c>
      <c r="G19" s="441"/>
      <c r="H19" s="441" t="s">
        <v>964</v>
      </c>
      <c r="I19" s="441">
        <v>146</v>
      </c>
      <c r="J19" s="441">
        <v>2000</v>
      </c>
      <c r="K19" s="451" t="s">
        <v>1041</v>
      </c>
    </row>
    <row r="20" spans="2:24" ht="15.6">
      <c r="B20" s="447" t="s">
        <v>998</v>
      </c>
      <c r="C20" s="443">
        <v>43598</v>
      </c>
      <c r="D20" s="443"/>
      <c r="E20" s="442" t="s">
        <v>999</v>
      </c>
      <c r="F20" s="441" t="s">
        <v>969</v>
      </c>
      <c r="G20" s="441" t="s">
        <v>977</v>
      </c>
      <c r="H20" s="441" t="s">
        <v>964</v>
      </c>
      <c r="I20" s="441">
        <v>124</v>
      </c>
      <c r="J20" s="441">
        <v>1200</v>
      </c>
      <c r="K20" s="451" t="s">
        <v>1042</v>
      </c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</row>
    <row r="21" spans="2:24" ht="15.6">
      <c r="B21" s="447" t="s">
        <v>997</v>
      </c>
      <c r="C21" s="443">
        <v>43724</v>
      </c>
      <c r="D21" s="443"/>
      <c r="E21" s="442" t="s">
        <v>1000</v>
      </c>
      <c r="F21" s="441" t="s">
        <v>967</v>
      </c>
      <c r="G21" s="441"/>
      <c r="H21" s="441" t="s">
        <v>964</v>
      </c>
      <c r="I21" s="441">
        <v>146</v>
      </c>
      <c r="J21" s="441">
        <v>2000</v>
      </c>
      <c r="K21" s="451" t="s">
        <v>1043</v>
      </c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</row>
    <row r="22" spans="2:24" ht="15.6">
      <c r="B22" s="447" t="s">
        <v>1001</v>
      </c>
      <c r="C22" s="443">
        <v>43719</v>
      </c>
      <c r="D22" s="443"/>
      <c r="E22" s="442" t="s">
        <v>976</v>
      </c>
      <c r="F22" s="441" t="s">
        <v>969</v>
      </c>
      <c r="G22" s="441" t="s">
        <v>977</v>
      </c>
      <c r="H22" s="441" t="s">
        <v>964</v>
      </c>
      <c r="I22" s="441">
        <v>161</v>
      </c>
      <c r="J22" s="441">
        <v>1400</v>
      </c>
      <c r="K22" s="451" t="s">
        <v>1044</v>
      </c>
      <c r="N22" s="458"/>
      <c r="O22" s="426"/>
      <c r="P22" s="426"/>
      <c r="Q22" s="426"/>
      <c r="R22" s="426"/>
      <c r="S22" s="426"/>
      <c r="T22" s="426"/>
      <c r="U22" s="426"/>
      <c r="V22" s="426"/>
      <c r="W22" s="426"/>
      <c r="X22" s="426"/>
    </row>
    <row r="23" spans="2:24" ht="15.6">
      <c r="B23" s="447" t="s">
        <v>1002</v>
      </c>
      <c r="C23" s="443">
        <v>36892</v>
      </c>
      <c r="D23" s="443"/>
      <c r="E23" s="442" t="s">
        <v>1003</v>
      </c>
      <c r="F23" s="441" t="s">
        <v>967</v>
      </c>
      <c r="G23" s="441"/>
      <c r="H23" s="441" t="s">
        <v>964</v>
      </c>
      <c r="I23" s="441" t="s">
        <v>897</v>
      </c>
      <c r="J23" s="441">
        <v>2700</v>
      </c>
      <c r="K23" s="448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6"/>
    </row>
    <row r="24" spans="2:24" ht="15.6">
      <c r="B24" s="447" t="s">
        <v>965</v>
      </c>
      <c r="C24" s="443">
        <v>39083</v>
      </c>
      <c r="D24" s="443"/>
      <c r="E24" s="442" t="s">
        <v>1003</v>
      </c>
      <c r="F24" s="441" t="s">
        <v>967</v>
      </c>
      <c r="G24" s="441"/>
      <c r="H24" s="441" t="s">
        <v>945</v>
      </c>
      <c r="I24" s="441" t="s">
        <v>897</v>
      </c>
      <c r="J24" s="441">
        <v>1400</v>
      </c>
      <c r="K24" s="448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</row>
    <row r="25" spans="2:24" ht="15.6">
      <c r="B25" s="447" t="s">
        <v>965</v>
      </c>
      <c r="C25" s="443">
        <v>39083</v>
      </c>
      <c r="D25" s="443"/>
      <c r="E25" s="442" t="s">
        <v>1003</v>
      </c>
      <c r="F25" s="441" t="s">
        <v>967</v>
      </c>
      <c r="G25" s="441"/>
      <c r="H25" s="441" t="s">
        <v>945</v>
      </c>
      <c r="I25" s="441" t="s">
        <v>897</v>
      </c>
      <c r="J25" s="441">
        <v>1400</v>
      </c>
      <c r="K25" s="448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</row>
    <row r="26" spans="2:24" ht="15.6">
      <c r="B26" s="447" t="s">
        <v>1004</v>
      </c>
      <c r="C26" s="443">
        <v>39448</v>
      </c>
      <c r="D26" s="443"/>
      <c r="E26" s="442" t="s">
        <v>1003</v>
      </c>
      <c r="F26" s="441" t="s">
        <v>967</v>
      </c>
      <c r="G26" s="441"/>
      <c r="H26" s="441" t="s">
        <v>945</v>
      </c>
      <c r="I26" s="441" t="s">
        <v>897</v>
      </c>
      <c r="J26" s="441">
        <v>3500</v>
      </c>
      <c r="K26" s="448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</row>
    <row r="27" spans="2:24" ht="15.6">
      <c r="B27" s="447" t="s">
        <v>1005</v>
      </c>
      <c r="C27" s="443">
        <v>42370</v>
      </c>
      <c r="D27" s="443"/>
      <c r="E27" s="442" t="s">
        <v>1003</v>
      </c>
      <c r="F27" s="441" t="s">
        <v>967</v>
      </c>
      <c r="G27" s="441"/>
      <c r="H27" s="441" t="s">
        <v>989</v>
      </c>
      <c r="I27" s="441">
        <v>0</v>
      </c>
      <c r="J27" s="441">
        <v>1400</v>
      </c>
      <c r="K27" s="451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</row>
    <row r="28" spans="2:24" ht="15.6">
      <c r="B28" s="447" t="s">
        <v>1005</v>
      </c>
      <c r="C28" s="443">
        <v>42370</v>
      </c>
      <c r="D28" s="443"/>
      <c r="E28" s="442" t="s">
        <v>1003</v>
      </c>
      <c r="F28" s="441" t="s">
        <v>967</v>
      </c>
      <c r="G28" s="441"/>
      <c r="H28" s="441" t="s">
        <v>989</v>
      </c>
      <c r="I28" s="441">
        <v>0</v>
      </c>
      <c r="J28" s="441">
        <v>1400</v>
      </c>
      <c r="K28" s="448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</row>
    <row r="29" spans="2:24" ht="15.6">
      <c r="B29" s="447" t="s">
        <v>1006</v>
      </c>
      <c r="C29" s="443">
        <v>43101</v>
      </c>
      <c r="D29" s="443"/>
      <c r="E29" s="442" t="s">
        <v>1003</v>
      </c>
      <c r="F29" s="441" t="s">
        <v>969</v>
      </c>
      <c r="G29" s="441" t="s">
        <v>977</v>
      </c>
      <c r="H29" s="441" t="s">
        <v>989</v>
      </c>
      <c r="I29" s="441">
        <v>0</v>
      </c>
      <c r="J29" s="441">
        <v>1600</v>
      </c>
      <c r="K29" s="451"/>
      <c r="N29" s="426"/>
      <c r="O29" s="426"/>
      <c r="P29" s="426"/>
      <c r="Q29" s="426"/>
      <c r="R29" s="426"/>
      <c r="S29" s="426"/>
      <c r="T29" s="426"/>
      <c r="U29" s="426"/>
      <c r="V29" s="426"/>
      <c r="W29" s="426"/>
      <c r="X29" s="426"/>
    </row>
    <row r="30" spans="2:24" ht="15.6">
      <c r="B30" s="447" t="s">
        <v>1007</v>
      </c>
      <c r="C30" s="443">
        <v>43473</v>
      </c>
      <c r="D30" s="443"/>
      <c r="E30" s="442" t="s">
        <v>1003</v>
      </c>
      <c r="F30" s="441" t="s">
        <v>967</v>
      </c>
      <c r="G30" s="441"/>
      <c r="H30" s="441" t="s">
        <v>989</v>
      </c>
      <c r="I30" s="441">
        <v>0</v>
      </c>
      <c r="J30" s="445">
        <v>400</v>
      </c>
      <c r="K30" s="451" t="s">
        <v>1045</v>
      </c>
      <c r="N30" s="426"/>
      <c r="O30" s="426"/>
      <c r="P30" s="426"/>
      <c r="Q30" s="426"/>
      <c r="R30" s="426"/>
      <c r="S30" s="426"/>
      <c r="T30" s="426"/>
      <c r="U30" s="426"/>
      <c r="V30" s="426"/>
      <c r="W30" s="426"/>
      <c r="X30" s="426"/>
    </row>
    <row r="31" spans="2:24" ht="15.6">
      <c r="B31" s="447" t="s">
        <v>1007</v>
      </c>
      <c r="C31" s="443">
        <v>43768</v>
      </c>
      <c r="D31" s="443"/>
      <c r="E31" s="442" t="s">
        <v>1003</v>
      </c>
      <c r="F31" s="441" t="s">
        <v>967</v>
      </c>
      <c r="G31" s="441"/>
      <c r="H31" s="441" t="s">
        <v>989</v>
      </c>
      <c r="I31" s="441">
        <v>0</v>
      </c>
      <c r="J31" s="445">
        <v>400</v>
      </c>
      <c r="K31" s="451" t="s">
        <v>1046</v>
      </c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</row>
    <row r="32" spans="2:24" ht="15.6">
      <c r="B32" s="447" t="s">
        <v>1008</v>
      </c>
      <c r="C32" s="443">
        <v>43466</v>
      </c>
      <c r="D32" s="443"/>
      <c r="E32" s="442" t="s">
        <v>1003</v>
      </c>
      <c r="F32" s="441" t="s">
        <v>1009</v>
      </c>
      <c r="G32" s="441"/>
      <c r="H32" s="441" t="s">
        <v>1010</v>
      </c>
      <c r="I32" s="441"/>
      <c r="J32" s="441">
        <v>200</v>
      </c>
      <c r="K32" s="452"/>
      <c r="N32" s="426"/>
      <c r="O32" s="426"/>
      <c r="P32" s="426"/>
      <c r="Q32" s="426"/>
      <c r="R32" s="426"/>
      <c r="S32" s="426"/>
      <c r="T32" s="426"/>
      <c r="U32" s="426"/>
      <c r="V32" s="426"/>
      <c r="W32" s="426"/>
      <c r="X32" s="426"/>
    </row>
    <row r="33" spans="2:25" ht="15.6">
      <c r="B33" s="447" t="s">
        <v>1011</v>
      </c>
      <c r="C33" s="443">
        <v>36892</v>
      </c>
      <c r="D33" s="443"/>
      <c r="E33" s="442" t="s">
        <v>204</v>
      </c>
      <c r="F33" s="441"/>
      <c r="G33" s="441"/>
      <c r="H33" s="441"/>
      <c r="I33" s="441" t="s">
        <v>897</v>
      </c>
      <c r="J33" s="441">
        <v>1200</v>
      </c>
      <c r="K33" s="448" t="s">
        <v>1047</v>
      </c>
      <c r="N33" s="426"/>
      <c r="O33" s="426"/>
      <c r="P33" s="426"/>
      <c r="Q33" s="426"/>
      <c r="R33" s="426"/>
      <c r="S33" s="426"/>
      <c r="T33" s="426"/>
      <c r="U33" s="426"/>
      <c r="V33" s="426"/>
      <c r="W33" s="426"/>
      <c r="X33" s="426"/>
    </row>
    <row r="34" spans="2:25" ht="15.6">
      <c r="B34" s="447" t="s">
        <v>1012</v>
      </c>
      <c r="C34" s="443">
        <v>38718</v>
      </c>
      <c r="D34" s="443"/>
      <c r="E34" s="442" t="s">
        <v>204</v>
      </c>
      <c r="F34" s="441" t="s">
        <v>967</v>
      </c>
      <c r="G34" s="441"/>
      <c r="H34" s="441" t="s">
        <v>981</v>
      </c>
      <c r="I34" s="441" t="s">
        <v>897</v>
      </c>
      <c r="J34" s="441">
        <v>2000</v>
      </c>
      <c r="K34" s="448"/>
      <c r="N34" s="426"/>
      <c r="O34" s="426"/>
      <c r="P34" s="426"/>
      <c r="Q34" s="426"/>
      <c r="R34" s="426"/>
      <c r="S34" s="426"/>
      <c r="T34" s="426"/>
      <c r="U34" s="426"/>
      <c r="V34" s="426"/>
      <c r="W34" s="426"/>
      <c r="X34" s="426"/>
    </row>
    <row r="35" spans="2:25" ht="15.6">
      <c r="B35" s="447" t="s">
        <v>1013</v>
      </c>
      <c r="C35" s="471">
        <v>42370</v>
      </c>
      <c r="D35" s="443"/>
      <c r="E35" s="442" t="s">
        <v>204</v>
      </c>
      <c r="F35" s="441" t="s">
        <v>967</v>
      </c>
      <c r="G35" s="441"/>
      <c r="H35" s="441" t="s">
        <v>981</v>
      </c>
      <c r="I35" s="441">
        <v>216</v>
      </c>
      <c r="J35" s="441">
        <v>1600</v>
      </c>
      <c r="K35" s="472"/>
      <c r="N35" s="426"/>
      <c r="O35" s="426"/>
      <c r="P35" s="426"/>
      <c r="Q35" s="426"/>
      <c r="R35" s="426"/>
      <c r="S35" s="426"/>
      <c r="T35" s="426"/>
      <c r="U35" s="426"/>
      <c r="V35" s="426"/>
      <c r="W35" s="426"/>
      <c r="X35" s="426"/>
    </row>
    <row r="36" spans="2:25" ht="15.6">
      <c r="B36" s="447" t="s">
        <v>1014</v>
      </c>
      <c r="C36" s="471">
        <v>40544</v>
      </c>
      <c r="D36" s="443"/>
      <c r="E36" s="442" t="s">
        <v>204</v>
      </c>
      <c r="F36" s="441" t="s">
        <v>967</v>
      </c>
      <c r="G36" s="441"/>
      <c r="H36" s="441" t="s">
        <v>981</v>
      </c>
      <c r="I36" s="441"/>
      <c r="J36" s="441">
        <v>1300</v>
      </c>
      <c r="K36" s="448"/>
      <c r="N36" s="426"/>
      <c r="O36" s="426"/>
      <c r="P36" s="426"/>
      <c r="Q36" s="426"/>
      <c r="R36" s="426"/>
      <c r="S36" s="426"/>
      <c r="T36" s="426"/>
      <c r="U36" s="426"/>
      <c r="V36" s="426"/>
      <c r="W36" s="426"/>
      <c r="X36" s="426"/>
      <c r="Y36" s="426"/>
    </row>
    <row r="37" spans="2:25" ht="15.6">
      <c r="B37" s="447" t="s">
        <v>1015</v>
      </c>
      <c r="C37" s="471">
        <v>40909</v>
      </c>
      <c r="D37" s="443"/>
      <c r="E37" s="442" t="s">
        <v>204</v>
      </c>
      <c r="F37" s="441" t="s">
        <v>967</v>
      </c>
      <c r="G37" s="441"/>
      <c r="H37" s="441" t="s">
        <v>981</v>
      </c>
      <c r="I37" s="441"/>
      <c r="J37" s="441">
        <v>1700</v>
      </c>
      <c r="K37" s="449"/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X37" s="426"/>
    </row>
    <row r="38" spans="2:25" ht="15.6">
      <c r="B38" s="473" t="s">
        <v>1016</v>
      </c>
      <c r="C38" s="455">
        <v>39448</v>
      </c>
      <c r="D38" s="455"/>
      <c r="E38" s="474" t="s">
        <v>204</v>
      </c>
      <c r="F38" s="475" t="s">
        <v>969</v>
      </c>
      <c r="G38" s="475"/>
      <c r="H38" s="476" t="s">
        <v>945</v>
      </c>
      <c r="I38" s="477">
        <v>115</v>
      </c>
      <c r="J38" s="477">
        <v>850</v>
      </c>
      <c r="K38" s="45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6"/>
    </row>
    <row r="39" spans="2:25" ht="15.6">
      <c r="K39" s="437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6"/>
    </row>
    <row r="40" spans="2:25" ht="15.6">
      <c r="K40" s="436"/>
      <c r="N40" s="426"/>
      <c r="O40" s="426"/>
      <c r="P40" s="426"/>
      <c r="Q40" s="426"/>
      <c r="R40" s="426"/>
      <c r="S40" s="426"/>
      <c r="T40" s="426"/>
      <c r="U40" s="426"/>
      <c r="V40" s="426"/>
      <c r="W40" s="426"/>
      <c r="X40" s="426"/>
    </row>
    <row r="41" spans="2:25"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</row>
    <row r="42" spans="2:25"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6"/>
    </row>
    <row r="43" spans="2:25">
      <c r="N43" s="426"/>
      <c r="O43" s="426"/>
      <c r="P43" s="426"/>
      <c r="Q43" s="426"/>
      <c r="R43" s="426"/>
      <c r="S43" s="426"/>
      <c r="T43" s="426"/>
      <c r="U43" s="426"/>
      <c r="V43" s="426"/>
      <c r="W43" s="426"/>
      <c r="X43" s="426"/>
    </row>
    <row r="44" spans="2:25">
      <c r="N44" s="426"/>
      <c r="O44" s="426"/>
      <c r="P44" s="426"/>
      <c r="Q44" s="426"/>
      <c r="R44" s="426"/>
      <c r="S44" s="426"/>
      <c r="T44" s="426"/>
      <c r="U44" s="426"/>
      <c r="V44" s="426"/>
      <c r="W44" s="426"/>
      <c r="X44" s="426"/>
    </row>
    <row r="45" spans="2:25"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</row>
    <row r="46" spans="2:25"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6"/>
    </row>
    <row r="47" spans="2:25">
      <c r="N47" s="426"/>
      <c r="O47" s="426"/>
      <c r="P47" s="426"/>
      <c r="Q47" s="426"/>
      <c r="R47" s="426"/>
      <c r="S47" s="426"/>
      <c r="T47" s="426"/>
      <c r="U47" s="426"/>
      <c r="V47" s="426"/>
      <c r="W47" s="426"/>
      <c r="X47" s="426"/>
    </row>
    <row r="48" spans="2:25">
      <c r="N48" s="426"/>
      <c r="O48" s="426"/>
      <c r="P48" s="426"/>
      <c r="Q48" s="426"/>
      <c r="R48" s="426"/>
      <c r="S48" s="426"/>
      <c r="T48" s="426"/>
      <c r="U48" s="426"/>
      <c r="V48" s="426"/>
      <c r="W48" s="426"/>
      <c r="X48" s="426"/>
    </row>
    <row r="49" spans="14:24">
      <c r="N49" s="426"/>
      <c r="O49" s="426"/>
      <c r="P49" s="426"/>
      <c r="Q49" s="426"/>
      <c r="R49" s="426"/>
      <c r="S49" s="426"/>
      <c r="T49" s="426"/>
      <c r="U49" s="426"/>
      <c r="V49" s="426"/>
      <c r="W49" s="426"/>
      <c r="X49" s="426"/>
    </row>
    <row r="50" spans="14:24">
      <c r="N50" s="426"/>
      <c r="O50" s="426"/>
      <c r="P50" s="426"/>
      <c r="Q50" s="426"/>
      <c r="R50" s="426"/>
      <c r="S50" s="426"/>
      <c r="T50" s="426"/>
      <c r="U50" s="426"/>
      <c r="V50" s="426"/>
      <c r="W50" s="426"/>
      <c r="X50" s="426"/>
    </row>
    <row r="51" spans="14:24">
      <c r="N51" s="426"/>
      <c r="O51" s="426"/>
      <c r="P51" s="426"/>
      <c r="Q51" s="426"/>
      <c r="R51" s="426"/>
      <c r="S51" s="426"/>
      <c r="T51" s="426"/>
      <c r="U51" s="426"/>
      <c r="V51" s="426"/>
      <c r="W51" s="426"/>
      <c r="X51" s="426"/>
    </row>
    <row r="52" spans="14:24">
      <c r="N52" s="426"/>
      <c r="O52" s="426"/>
      <c r="P52" s="426"/>
      <c r="Q52" s="426"/>
      <c r="R52" s="426"/>
      <c r="S52" s="426"/>
      <c r="T52" s="426"/>
      <c r="U52" s="426"/>
      <c r="V52" s="426"/>
      <c r="W52" s="426"/>
      <c r="X52" s="426"/>
    </row>
    <row r="53" spans="14:24">
      <c r="N53" s="426"/>
      <c r="O53" s="426"/>
      <c r="P53" s="426"/>
      <c r="Q53" s="426"/>
      <c r="R53" s="426"/>
      <c r="S53" s="426"/>
      <c r="T53" s="426"/>
      <c r="U53" s="426"/>
      <c r="V53" s="426"/>
      <c r="W53" s="426"/>
      <c r="X53" s="426"/>
    </row>
  </sheetData>
  <phoneticPr fontId="84" type="noConversion"/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F2ECD-4389-4996-9D66-20C6FD118CAD}">
  <sheetPr>
    <tabColor theme="5"/>
    <pageSetUpPr fitToPage="1"/>
  </sheetPr>
  <dimension ref="A1:DF92"/>
  <sheetViews>
    <sheetView showGridLines="0" zoomScale="70" zoomScaleNormal="70" zoomScaleSheetLayoutView="71" workbookViewId="0">
      <selection activeCell="BJ12" sqref="BJ12"/>
    </sheetView>
  </sheetViews>
  <sheetFormatPr baseColWidth="10" defaultColWidth="11.44140625" defaultRowHeight="13.2" outlineLevelCol="1"/>
  <cols>
    <col min="1" max="1" width="27.109375" style="70" customWidth="1"/>
    <col min="2" max="2" width="65.44140625" style="70" customWidth="1"/>
    <col min="3" max="3" width="20.6640625" style="70" customWidth="1"/>
    <col min="4" max="4" width="26.109375" style="70" hidden="1" customWidth="1" outlineLevel="1"/>
    <col min="5" max="5" width="22.33203125" style="70" hidden="1" customWidth="1" outlineLevel="1"/>
    <col min="6" max="6" width="20.33203125" style="70" customWidth="1" collapsed="1"/>
    <col min="7" max="7" width="14.77734375" style="70" hidden="1" customWidth="1" outlineLevel="1"/>
    <col min="8" max="8" width="15.109375" style="70" hidden="1" customWidth="1" outlineLevel="1"/>
    <col min="9" max="9" width="18.44140625" style="70" hidden="1" customWidth="1" outlineLevel="1"/>
    <col min="10" max="10" width="16.44140625" style="70" hidden="1" customWidth="1" outlineLevel="1"/>
    <col min="11" max="11" width="14.44140625" style="70" hidden="1" customWidth="1" outlineLevel="1"/>
    <col min="12" max="12" width="14.109375" style="70" hidden="1" customWidth="1" outlineLevel="1"/>
    <col min="13" max="13" width="14" style="70" hidden="1" customWidth="1" outlineLevel="1"/>
    <col min="14" max="14" width="20.44140625" style="70" hidden="1" customWidth="1" outlineLevel="1"/>
    <col min="15" max="15" width="20.33203125" style="70" hidden="1" customWidth="1" outlineLevel="1"/>
    <col min="16" max="16" width="18.109375" style="70" hidden="1" customWidth="1" outlineLevel="1"/>
    <col min="17" max="17" width="24.77734375" style="70" hidden="1" customWidth="1" outlineLevel="1"/>
    <col min="18" max="18" width="21.33203125" style="70" hidden="1" customWidth="1" outlineLevel="1"/>
    <col min="19" max="19" width="21" style="70" hidden="1" customWidth="1" outlineLevel="1"/>
    <col min="20" max="20" width="11.44140625" style="70" hidden="1" customWidth="1" outlineLevel="1"/>
    <col min="21" max="21" width="12.33203125" style="70" hidden="1" customWidth="1" outlineLevel="1"/>
    <col min="22" max="25" width="11.44140625" style="70" hidden="1" customWidth="1" outlineLevel="1"/>
    <col min="26" max="26" width="17.33203125" style="70" customWidth="1" collapsed="1"/>
    <col min="27" max="27" width="12.44140625" style="70" hidden="1" customWidth="1" outlineLevel="1"/>
    <col min="28" max="28" width="11.44140625" style="70" hidden="1" customWidth="1" outlineLevel="1"/>
    <col min="29" max="30" width="12.44140625" style="70" hidden="1" customWidth="1" outlineLevel="1"/>
    <col min="31" max="31" width="15.44140625" style="70" hidden="1" customWidth="1" outlineLevel="1"/>
    <col min="32" max="32" width="12.44140625" style="70" hidden="1" customWidth="1" outlineLevel="1"/>
    <col min="33" max="33" width="13.44140625" style="70" hidden="1" customWidth="1" outlineLevel="1"/>
    <col min="34" max="35" width="12.6640625" style="70" hidden="1" customWidth="1" outlineLevel="1"/>
    <col min="36" max="41" width="11.44140625" style="70" hidden="1" customWidth="1" outlineLevel="1"/>
    <col min="42" max="42" width="14.44140625" style="70" hidden="1" customWidth="1" outlineLevel="1"/>
    <col min="43" max="43" width="11.44140625" style="70" hidden="1" customWidth="1" outlineLevel="1"/>
    <col min="44" max="44" width="20.44140625" style="70" hidden="1" customWidth="1" outlineLevel="1"/>
    <col min="45" max="45" width="25.33203125" style="70" hidden="1" customWidth="1" outlineLevel="1"/>
    <col min="46" max="57" width="11.44140625" style="70" hidden="1" customWidth="1" outlineLevel="1"/>
    <col min="58" max="58" width="14.109375" style="70" hidden="1" customWidth="1" outlineLevel="1"/>
    <col min="59" max="61" width="11.44140625" style="70" hidden="1" customWidth="1" outlineLevel="1"/>
    <col min="62" max="62" width="11.44140625" style="70" customWidth="1" collapsed="1"/>
    <col min="63" max="64" width="11.44140625" style="70" hidden="1" customWidth="1" outlineLevel="1"/>
    <col min="65" max="65" width="12.77734375" style="70" hidden="1" customWidth="1" outlineLevel="1"/>
    <col min="66" max="66" width="11.44140625" style="70" hidden="1" customWidth="1" outlineLevel="1"/>
    <col min="67" max="67" width="28" style="70" hidden="1" customWidth="1" outlineLevel="1"/>
    <col min="68" max="68" width="23.44140625" style="70" hidden="1" customWidth="1" outlineLevel="1"/>
    <col min="69" max="69" width="31.33203125" style="70" hidden="1" customWidth="1" outlineLevel="1"/>
    <col min="70" max="70" width="11.44140625" style="70" collapsed="1"/>
    <col min="71" max="71" width="48.44140625" style="70" customWidth="1"/>
    <col min="72" max="72" width="34.33203125" style="70" customWidth="1"/>
    <col min="73" max="78" width="11.44140625" style="70"/>
    <col min="79" max="79" width="11.44140625" style="70" customWidth="1"/>
    <col min="80" max="16384" width="11.44140625" style="70"/>
  </cols>
  <sheetData>
    <row r="1" spans="2:73">
      <c r="G1" s="263"/>
      <c r="H1" s="263"/>
      <c r="I1" s="263"/>
      <c r="J1" s="263"/>
      <c r="K1" s="263"/>
      <c r="L1" s="263"/>
    </row>
    <row r="6" spans="2:73">
      <c r="B6" s="272" t="s">
        <v>821</v>
      </c>
      <c r="C6" s="71">
        <v>30</v>
      </c>
    </row>
    <row r="7" spans="2:73">
      <c r="B7" s="272" t="s">
        <v>823</v>
      </c>
      <c r="C7" s="71">
        <v>2019</v>
      </c>
    </row>
    <row r="8" spans="2:73" ht="22.5" customHeight="1">
      <c r="B8" s="272" t="s">
        <v>829</v>
      </c>
      <c r="C8" s="262">
        <v>0.3</v>
      </c>
    </row>
    <row r="9" spans="2:73">
      <c r="B9" s="272" t="s">
        <v>828</v>
      </c>
      <c r="C9" s="71">
        <v>440</v>
      </c>
      <c r="D9" s="273" t="s">
        <v>827</v>
      </c>
    </row>
    <row r="12" spans="2:73" ht="13.95" customHeight="1"/>
    <row r="13" spans="2:73">
      <c r="AR13" s="72"/>
      <c r="AU13" s="72"/>
      <c r="AX13" s="72"/>
      <c r="BC13" s="72"/>
      <c r="BN13" s="31"/>
      <c r="BO13" s="31"/>
      <c r="BP13" s="31"/>
    </row>
    <row r="14" spans="2:73" ht="23.55" customHeight="1">
      <c r="D14" s="724" t="s">
        <v>213</v>
      </c>
      <c r="E14" s="725"/>
      <c r="F14" s="725"/>
      <c r="G14" s="725"/>
      <c r="H14" s="725"/>
      <c r="I14" s="725"/>
      <c r="J14" s="725"/>
      <c r="K14" s="725"/>
      <c r="L14" s="725"/>
      <c r="M14" s="725"/>
      <c r="N14" s="725"/>
      <c r="O14" s="725"/>
      <c r="P14" s="725"/>
      <c r="Q14" s="725"/>
      <c r="R14" s="725"/>
      <c r="S14" s="725"/>
      <c r="T14" s="725"/>
      <c r="U14" s="725"/>
      <c r="V14" s="725"/>
      <c r="W14" s="725"/>
      <c r="X14" s="725"/>
      <c r="Y14" s="725"/>
      <c r="Z14" s="725"/>
      <c r="AA14" s="725"/>
      <c r="AB14" s="725"/>
      <c r="AC14" s="725"/>
      <c r="AD14" s="725"/>
      <c r="AE14" s="725"/>
      <c r="AF14" s="725"/>
      <c r="AG14" s="725"/>
      <c r="AH14" s="725"/>
      <c r="AI14" s="725"/>
      <c r="AJ14" s="725"/>
      <c r="AK14" s="725"/>
      <c r="AL14" s="725"/>
      <c r="AM14" s="725"/>
      <c r="AN14" s="725"/>
      <c r="AO14" s="725"/>
      <c r="AP14" s="725"/>
      <c r="AQ14" s="725"/>
      <c r="AR14" s="725"/>
      <c r="AS14" s="725"/>
      <c r="AT14" s="725"/>
      <c r="AU14" s="725"/>
      <c r="AV14" s="725"/>
      <c r="AW14" s="725"/>
      <c r="AX14" s="725"/>
      <c r="AY14" s="725"/>
      <c r="AZ14" s="725"/>
      <c r="BA14" s="725"/>
      <c r="BB14" s="725"/>
      <c r="BC14" s="725"/>
      <c r="BD14" s="725"/>
      <c r="BE14" s="725"/>
      <c r="BF14" s="725"/>
      <c r="BG14" s="725"/>
      <c r="BH14" s="725"/>
      <c r="BI14" s="725"/>
      <c r="BJ14" s="725"/>
      <c r="BK14" s="725"/>
      <c r="BL14" s="725"/>
      <c r="BM14" s="725"/>
      <c r="BN14" s="725"/>
      <c r="BO14" s="725"/>
      <c r="BP14" s="725"/>
      <c r="BQ14" s="725"/>
      <c r="BR14" s="725"/>
      <c r="BS14" s="725"/>
      <c r="BT14" s="726"/>
    </row>
    <row r="15" spans="2:73" s="229" customFormat="1" ht="21" customHeight="1">
      <c r="D15" s="733" t="s">
        <v>212</v>
      </c>
      <c r="E15" s="733"/>
      <c r="F15" s="733"/>
      <c r="G15" s="718" t="s">
        <v>214</v>
      </c>
      <c r="H15" s="719"/>
      <c r="I15" s="719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719"/>
      <c r="Z15" s="720"/>
      <c r="AA15" s="718" t="s">
        <v>215</v>
      </c>
      <c r="AB15" s="719"/>
      <c r="AC15" s="719"/>
      <c r="AD15" s="719"/>
      <c r="AE15" s="719"/>
      <c r="AF15" s="719"/>
      <c r="AG15" s="719"/>
      <c r="AH15" s="719"/>
      <c r="AI15" s="719"/>
      <c r="AJ15" s="719"/>
      <c r="AK15" s="719"/>
      <c r="AL15" s="719"/>
      <c r="AM15" s="719"/>
      <c r="AN15" s="719"/>
      <c r="AO15" s="719"/>
      <c r="AP15" s="719"/>
      <c r="AQ15" s="719"/>
      <c r="AR15" s="719"/>
      <c r="AS15" s="719"/>
      <c r="AT15" s="719"/>
      <c r="AU15" s="719"/>
      <c r="AV15" s="719"/>
      <c r="AW15" s="719"/>
      <c r="AX15" s="719"/>
      <c r="AY15" s="719"/>
      <c r="AZ15" s="719"/>
      <c r="BA15" s="719"/>
      <c r="BB15" s="719"/>
      <c r="BC15" s="719"/>
      <c r="BD15" s="719"/>
      <c r="BE15" s="719"/>
      <c r="BF15" s="719"/>
      <c r="BG15" s="719"/>
      <c r="BH15" s="719"/>
      <c r="BI15" s="719"/>
      <c r="BJ15" s="720"/>
      <c r="BK15" s="718" t="s">
        <v>216</v>
      </c>
      <c r="BL15" s="719"/>
      <c r="BM15" s="719"/>
      <c r="BN15" s="719"/>
      <c r="BO15" s="719"/>
      <c r="BP15" s="719"/>
      <c r="BQ15" s="719"/>
      <c r="BR15" s="720"/>
      <c r="BS15" s="727" t="s">
        <v>813</v>
      </c>
      <c r="BT15" s="729" t="s">
        <v>814</v>
      </c>
      <c r="BU15" s="70"/>
    </row>
    <row r="16" spans="2:73" ht="22.8">
      <c r="B16" s="713" t="s">
        <v>12</v>
      </c>
      <c r="C16" s="73"/>
      <c r="D16" s="218" t="s">
        <v>217</v>
      </c>
      <c r="E16" s="218" t="s">
        <v>218</v>
      </c>
      <c r="F16" s="734" t="s">
        <v>2</v>
      </c>
      <c r="G16" s="218" t="s">
        <v>219</v>
      </c>
      <c r="H16" s="218" t="s">
        <v>220</v>
      </c>
      <c r="I16" s="218" t="s">
        <v>221</v>
      </c>
      <c r="J16" s="218" t="s">
        <v>222</v>
      </c>
      <c r="K16" s="218" t="s">
        <v>223</v>
      </c>
      <c r="L16" s="218" t="s">
        <v>224</v>
      </c>
      <c r="M16" s="218" t="s">
        <v>225</v>
      </c>
      <c r="N16" s="218" t="s">
        <v>226</v>
      </c>
      <c r="O16" s="218" t="s">
        <v>227</v>
      </c>
      <c r="P16" s="218" t="s">
        <v>228</v>
      </c>
      <c r="Q16" s="218" t="s">
        <v>229</v>
      </c>
      <c r="R16" s="218" t="s">
        <v>230</v>
      </c>
      <c r="S16" s="218" t="s">
        <v>231</v>
      </c>
      <c r="T16" s="218" t="s">
        <v>232</v>
      </c>
      <c r="U16" s="235" t="s">
        <v>233</v>
      </c>
      <c r="V16" s="235" t="s">
        <v>231</v>
      </c>
      <c r="W16" s="235" t="s">
        <v>233</v>
      </c>
      <c r="X16" s="218" t="s">
        <v>233</v>
      </c>
      <c r="Y16" s="218" t="s">
        <v>231</v>
      </c>
      <c r="Z16" s="731" t="s">
        <v>2</v>
      </c>
      <c r="AA16" s="218" t="s">
        <v>234</v>
      </c>
      <c r="AB16" s="218" t="s">
        <v>235</v>
      </c>
      <c r="AC16" s="218" t="s">
        <v>236</v>
      </c>
      <c r="AD16" s="218" t="s">
        <v>237</v>
      </c>
      <c r="AE16" s="218" t="s">
        <v>237</v>
      </c>
      <c r="AF16" s="218" t="s">
        <v>237</v>
      </c>
      <c r="AG16" s="218" t="s">
        <v>237</v>
      </c>
      <c r="AH16" s="218" t="s">
        <v>237</v>
      </c>
      <c r="AI16" s="218" t="s">
        <v>238</v>
      </c>
      <c r="AJ16" s="218" t="s">
        <v>239</v>
      </c>
      <c r="AK16" s="242" t="s">
        <v>240</v>
      </c>
      <c r="AL16" s="218" t="s">
        <v>241</v>
      </c>
      <c r="AM16" s="218" t="s">
        <v>242</v>
      </c>
      <c r="AN16" s="218" t="s">
        <v>243</v>
      </c>
      <c r="AO16" s="218" t="s">
        <v>244</v>
      </c>
      <c r="AP16" s="218" t="s">
        <v>245</v>
      </c>
      <c r="AQ16" s="218" t="s">
        <v>246</v>
      </c>
      <c r="AR16" s="218" t="s">
        <v>247</v>
      </c>
      <c r="AS16" s="218" t="s">
        <v>248</v>
      </c>
      <c r="AT16" s="218" t="s">
        <v>249</v>
      </c>
      <c r="AU16" s="218" t="s">
        <v>250</v>
      </c>
      <c r="AV16" s="218" t="s">
        <v>251</v>
      </c>
      <c r="AW16" s="218" t="s">
        <v>252</v>
      </c>
      <c r="AX16" s="218" t="s">
        <v>253</v>
      </c>
      <c r="AY16" s="218" t="s">
        <v>254</v>
      </c>
      <c r="AZ16" s="218" t="s">
        <v>255</v>
      </c>
      <c r="BA16" s="218" t="s">
        <v>256</v>
      </c>
      <c r="BB16" s="243" t="s">
        <v>257</v>
      </c>
      <c r="BC16" s="218" t="s">
        <v>258</v>
      </c>
      <c r="BD16" s="218" t="s">
        <v>258</v>
      </c>
      <c r="BE16" s="218" t="s">
        <v>259</v>
      </c>
      <c r="BF16" s="218" t="s">
        <v>260</v>
      </c>
      <c r="BG16" s="218" t="s">
        <v>261</v>
      </c>
      <c r="BH16" s="218" t="s">
        <v>116</v>
      </c>
      <c r="BI16" s="218" t="s">
        <v>262</v>
      </c>
      <c r="BJ16" s="734" t="s">
        <v>2</v>
      </c>
      <c r="BK16" s="218" t="s">
        <v>263</v>
      </c>
      <c r="BL16" s="218" t="s">
        <v>264</v>
      </c>
      <c r="BM16" s="243" t="s">
        <v>265</v>
      </c>
      <c r="BN16" s="247" t="s">
        <v>266</v>
      </c>
      <c r="BO16" s="218" t="s">
        <v>115</v>
      </c>
      <c r="BP16" s="218" t="s">
        <v>267</v>
      </c>
      <c r="BQ16" s="218" t="s">
        <v>136</v>
      </c>
      <c r="BR16" s="734" t="s">
        <v>2</v>
      </c>
      <c r="BS16" s="728"/>
      <c r="BT16" s="730"/>
    </row>
    <row r="17" spans="1:110" ht="13.2" customHeight="1">
      <c r="B17" s="713"/>
      <c r="C17" s="73"/>
      <c r="D17" s="218">
        <v>704</v>
      </c>
      <c r="E17" s="218">
        <v>608</v>
      </c>
      <c r="F17" s="734"/>
      <c r="G17" s="218">
        <v>105</v>
      </c>
      <c r="H17" s="218">
        <v>102</v>
      </c>
      <c r="I17" s="218">
        <v>706</v>
      </c>
      <c r="J17" s="218">
        <v>703</v>
      </c>
      <c r="K17" s="218">
        <v>605</v>
      </c>
      <c r="L17" s="218">
        <v>607</v>
      </c>
      <c r="M17" s="218">
        <v>204</v>
      </c>
      <c r="N17" s="218">
        <v>603</v>
      </c>
      <c r="O17" s="218">
        <v>606</v>
      </c>
      <c r="P17" s="218">
        <v>212</v>
      </c>
      <c r="Q17" s="218">
        <v>707</v>
      </c>
      <c r="R17" s="218">
        <v>207</v>
      </c>
      <c r="S17" s="218">
        <v>202</v>
      </c>
      <c r="T17" s="218">
        <v>203</v>
      </c>
      <c r="U17" s="235">
        <v>205</v>
      </c>
      <c r="V17" s="235">
        <v>215</v>
      </c>
      <c r="W17" s="235">
        <v>216</v>
      </c>
      <c r="X17" s="218">
        <v>217</v>
      </c>
      <c r="Y17" s="218">
        <v>218</v>
      </c>
      <c r="Z17" s="732"/>
      <c r="AA17" s="218">
        <v>100</v>
      </c>
      <c r="AB17" s="218">
        <v>101</v>
      </c>
      <c r="AC17" s="218">
        <v>107</v>
      </c>
      <c r="AD17" s="218">
        <v>106</v>
      </c>
      <c r="AE17" s="218">
        <v>109</v>
      </c>
      <c r="AF17" s="218">
        <v>110</v>
      </c>
      <c r="AG17" s="218">
        <v>111</v>
      </c>
      <c r="AH17" s="218">
        <v>112</v>
      </c>
      <c r="AI17" s="218">
        <v>113</v>
      </c>
      <c r="AJ17" s="218">
        <v>114</v>
      </c>
      <c r="AK17" s="218">
        <v>201</v>
      </c>
      <c r="AL17" s="218">
        <v>206</v>
      </c>
      <c r="AM17" s="218">
        <v>208</v>
      </c>
      <c r="AN17" s="218">
        <v>209</v>
      </c>
      <c r="AO17" s="218">
        <v>210</v>
      </c>
      <c r="AP17" s="218">
        <v>220</v>
      </c>
      <c r="AQ17" s="218">
        <v>300</v>
      </c>
      <c r="AR17" s="218">
        <v>301</v>
      </c>
      <c r="AS17" s="218">
        <v>302</v>
      </c>
      <c r="AT17" s="218">
        <v>303</v>
      </c>
      <c r="AU17" s="218">
        <v>304</v>
      </c>
      <c r="AV17" s="218">
        <v>306</v>
      </c>
      <c r="AW17" s="218">
        <v>307</v>
      </c>
      <c r="AX17" s="218">
        <v>400</v>
      </c>
      <c r="AY17" s="218">
        <v>401</v>
      </c>
      <c r="AZ17" s="218">
        <v>402</v>
      </c>
      <c r="BA17" s="218">
        <v>407</v>
      </c>
      <c r="BB17" s="243">
        <v>408</v>
      </c>
      <c r="BC17" s="218">
        <v>501</v>
      </c>
      <c r="BD17" s="218">
        <v>502</v>
      </c>
      <c r="BE17" s="218">
        <v>503</v>
      </c>
      <c r="BF17" s="218">
        <v>504</v>
      </c>
      <c r="BG17" s="218">
        <v>602</v>
      </c>
      <c r="BH17" s="218">
        <v>705</v>
      </c>
      <c r="BI17" s="218" t="s">
        <v>262</v>
      </c>
      <c r="BJ17" s="734"/>
      <c r="BK17" s="218">
        <v>403</v>
      </c>
      <c r="BL17" s="247">
        <v>404</v>
      </c>
      <c r="BM17" s="243">
        <v>405</v>
      </c>
      <c r="BN17" s="218">
        <v>406</v>
      </c>
      <c r="BO17" s="218">
        <v>409</v>
      </c>
      <c r="BP17" s="218">
        <v>601</v>
      </c>
      <c r="BQ17" s="218" t="s">
        <v>136</v>
      </c>
      <c r="BR17" s="734"/>
      <c r="BS17" s="728"/>
      <c r="BT17" s="730"/>
    </row>
    <row r="18" spans="1:110" s="74" customFormat="1" ht="34.200000000000003">
      <c r="B18" s="228" t="s">
        <v>268</v>
      </c>
      <c r="C18" s="75"/>
      <c r="D18" s="218" t="s">
        <v>269</v>
      </c>
      <c r="E18" s="218" t="s">
        <v>269</v>
      </c>
      <c r="F18" s="214"/>
      <c r="G18" s="218" t="s">
        <v>270</v>
      </c>
      <c r="H18" s="218" t="s">
        <v>270</v>
      </c>
      <c r="I18" s="218" t="s">
        <v>270</v>
      </c>
      <c r="J18" s="218" t="s">
        <v>270</v>
      </c>
      <c r="K18" s="218" t="s">
        <v>270</v>
      </c>
      <c r="L18" s="218" t="s">
        <v>270</v>
      </c>
      <c r="M18" s="218" t="s">
        <v>270</v>
      </c>
      <c r="N18" s="218" t="s">
        <v>270</v>
      </c>
      <c r="O18" s="218" t="s">
        <v>270</v>
      </c>
      <c r="P18" s="218"/>
      <c r="Q18" s="218" t="s">
        <v>270</v>
      </c>
      <c r="R18" s="218" t="s">
        <v>271</v>
      </c>
      <c r="S18" s="218" t="s">
        <v>271</v>
      </c>
      <c r="T18" s="218" t="s">
        <v>271</v>
      </c>
      <c r="U18" s="218" t="s">
        <v>271</v>
      </c>
      <c r="V18" s="218" t="s">
        <v>271</v>
      </c>
      <c r="W18" s="218" t="s">
        <v>271</v>
      </c>
      <c r="X18" s="218" t="s">
        <v>271</v>
      </c>
      <c r="Y18" s="218" t="s">
        <v>271</v>
      </c>
      <c r="Z18" s="153"/>
      <c r="AA18" s="218" t="s">
        <v>269</v>
      </c>
      <c r="AB18" s="218" t="s">
        <v>269</v>
      </c>
      <c r="AC18" s="218" t="s">
        <v>272</v>
      </c>
      <c r="AD18" s="218" t="s">
        <v>272</v>
      </c>
      <c r="AE18" s="218" t="s">
        <v>272</v>
      </c>
      <c r="AF18" s="218" t="s">
        <v>272</v>
      </c>
      <c r="AG18" s="218" t="s">
        <v>272</v>
      </c>
      <c r="AH18" s="218" t="s">
        <v>272</v>
      </c>
      <c r="AI18" s="218" t="s">
        <v>272</v>
      </c>
      <c r="AJ18" s="218" t="s">
        <v>269</v>
      </c>
      <c r="AK18" s="218" t="s">
        <v>269</v>
      </c>
      <c r="AL18" s="218" t="s">
        <v>272</v>
      </c>
      <c r="AM18" s="218" t="s">
        <v>269</v>
      </c>
      <c r="AN18" s="218"/>
      <c r="AO18" s="218" t="s">
        <v>269</v>
      </c>
      <c r="AP18" s="218" t="s">
        <v>269</v>
      </c>
      <c r="AQ18" s="218" t="s">
        <v>269</v>
      </c>
      <c r="AR18" s="218" t="s">
        <v>269</v>
      </c>
      <c r="AS18" s="218" t="s">
        <v>272</v>
      </c>
      <c r="AT18" s="218" t="s">
        <v>272</v>
      </c>
      <c r="AU18" s="218" t="s">
        <v>272</v>
      </c>
      <c r="AV18" s="218" t="s">
        <v>272</v>
      </c>
      <c r="AW18" s="218" t="s">
        <v>269</v>
      </c>
      <c r="AX18" s="218" t="s">
        <v>269</v>
      </c>
      <c r="AY18" s="218" t="s">
        <v>272</v>
      </c>
      <c r="AZ18" s="218" t="s">
        <v>269</v>
      </c>
      <c r="BA18" s="218" t="s">
        <v>269</v>
      </c>
      <c r="BB18" s="218" t="s">
        <v>272</v>
      </c>
      <c r="BC18" s="218" t="s">
        <v>272</v>
      </c>
      <c r="BD18" s="218" t="s">
        <v>272</v>
      </c>
      <c r="BE18" s="218" t="s">
        <v>269</v>
      </c>
      <c r="BF18" s="218" t="s">
        <v>272</v>
      </c>
      <c r="BG18" s="218" t="s">
        <v>269</v>
      </c>
      <c r="BH18" s="218" t="s">
        <v>269</v>
      </c>
      <c r="BI18" s="218" t="s">
        <v>269</v>
      </c>
      <c r="BJ18" s="246"/>
      <c r="BK18" s="218" t="s">
        <v>272</v>
      </c>
      <c r="BL18" s="218" t="s">
        <v>272</v>
      </c>
      <c r="BM18" s="218" t="s">
        <v>272</v>
      </c>
      <c r="BN18" s="218" t="s">
        <v>272</v>
      </c>
      <c r="BO18" s="218" t="s">
        <v>273</v>
      </c>
      <c r="BP18" s="218" t="s">
        <v>269</v>
      </c>
      <c r="BQ18" s="218" t="s">
        <v>274</v>
      </c>
      <c r="BR18" s="246"/>
      <c r="BS18" s="728"/>
      <c r="BT18" s="730"/>
      <c r="BU18" s="70"/>
      <c r="BX18" s="70"/>
      <c r="CA18" s="70"/>
      <c r="CD18" s="70"/>
      <c r="CG18" s="70"/>
      <c r="CJ18" s="70"/>
      <c r="CM18" s="70"/>
      <c r="CP18" s="70"/>
      <c r="CS18" s="70"/>
      <c r="CV18" s="70"/>
      <c r="CY18" s="70"/>
      <c r="DB18" s="70"/>
      <c r="DE18" s="70"/>
    </row>
    <row r="19" spans="1:110" s="74" customFormat="1">
      <c r="B19" s="152" t="s">
        <v>275</v>
      </c>
      <c r="C19" s="75"/>
      <c r="D19" s="213">
        <v>1960</v>
      </c>
      <c r="E19" s="218">
        <v>1996</v>
      </c>
      <c r="F19" s="214"/>
      <c r="G19" s="218">
        <v>1957</v>
      </c>
      <c r="H19" s="217">
        <v>1958</v>
      </c>
      <c r="I19" s="213">
        <v>1958</v>
      </c>
      <c r="J19" s="213">
        <v>1959</v>
      </c>
      <c r="K19" s="213">
        <v>1960</v>
      </c>
      <c r="L19" s="213">
        <v>1960</v>
      </c>
      <c r="M19" s="213">
        <v>1961</v>
      </c>
      <c r="N19" s="213">
        <v>1960</v>
      </c>
      <c r="O19" s="213">
        <v>1993</v>
      </c>
      <c r="P19" s="213">
        <v>1997</v>
      </c>
      <c r="Q19" s="213">
        <v>2007</v>
      </c>
      <c r="R19" s="213">
        <v>1963</v>
      </c>
      <c r="S19" s="213">
        <v>1945</v>
      </c>
      <c r="T19" s="213">
        <v>1945</v>
      </c>
      <c r="U19" s="213">
        <v>1962</v>
      </c>
      <c r="V19" s="213">
        <v>1945</v>
      </c>
      <c r="W19" s="213">
        <v>1945</v>
      </c>
      <c r="X19" s="213">
        <v>1945</v>
      </c>
      <c r="Y19" s="213">
        <v>1945</v>
      </c>
      <c r="Z19" s="153"/>
      <c r="AA19" s="213">
        <v>1974</v>
      </c>
      <c r="AB19" s="213">
        <v>1958</v>
      </c>
      <c r="AC19" s="213">
        <v>1996</v>
      </c>
      <c r="AD19" s="213">
        <v>1957</v>
      </c>
      <c r="AE19" s="213">
        <v>1957</v>
      </c>
      <c r="AF19" s="213">
        <v>1957</v>
      </c>
      <c r="AG19" s="213">
        <v>1957</v>
      </c>
      <c r="AH19" s="213">
        <v>1957</v>
      </c>
      <c r="AI19" s="213">
        <v>1958</v>
      </c>
      <c r="AJ19" s="213">
        <v>1959</v>
      </c>
      <c r="AK19" s="213">
        <v>1967</v>
      </c>
      <c r="AL19" s="213">
        <v>1960</v>
      </c>
      <c r="AM19" s="213">
        <v>1962</v>
      </c>
      <c r="AN19" s="213">
        <v>1963</v>
      </c>
      <c r="AO19" s="213">
        <v>1963</v>
      </c>
      <c r="AP19" s="213">
        <v>1945</v>
      </c>
      <c r="AQ19" s="213">
        <v>2009</v>
      </c>
      <c r="AR19" s="213">
        <v>1962</v>
      </c>
      <c r="AS19" s="213">
        <v>1959</v>
      </c>
      <c r="AT19" s="213">
        <v>1960</v>
      </c>
      <c r="AU19" s="213">
        <v>1962</v>
      </c>
      <c r="AV19" s="213">
        <v>1963</v>
      </c>
      <c r="AW19" s="213">
        <v>1975</v>
      </c>
      <c r="AX19" s="213">
        <v>1959</v>
      </c>
      <c r="AY19" s="213">
        <v>1958</v>
      </c>
      <c r="AZ19" s="213">
        <v>1962</v>
      </c>
      <c r="BA19" s="213">
        <v>1986</v>
      </c>
      <c r="BB19" s="213">
        <v>2003</v>
      </c>
      <c r="BC19" s="213">
        <v>1959</v>
      </c>
      <c r="BD19" s="213">
        <v>1959</v>
      </c>
      <c r="BE19" s="213">
        <v>1962</v>
      </c>
      <c r="BF19" s="213">
        <v>1964</v>
      </c>
      <c r="BG19" s="213">
        <v>1964</v>
      </c>
      <c r="BH19" s="213">
        <v>1969</v>
      </c>
      <c r="BI19" s="213">
        <v>1945</v>
      </c>
      <c r="BJ19" s="153"/>
      <c r="BK19" s="213">
        <v>1962</v>
      </c>
      <c r="BL19" s="213">
        <v>1963</v>
      </c>
      <c r="BM19" s="213">
        <v>1963</v>
      </c>
      <c r="BN19" s="213">
        <v>1962</v>
      </c>
      <c r="BO19" s="213">
        <v>2001</v>
      </c>
      <c r="BP19" s="213">
        <v>1962</v>
      </c>
      <c r="BQ19" s="213">
        <v>2007</v>
      </c>
      <c r="BR19" s="153"/>
      <c r="BS19" s="728"/>
      <c r="BT19" s="730"/>
      <c r="BU19" s="70"/>
      <c r="BX19" s="70"/>
      <c r="CA19" s="70"/>
      <c r="CD19" s="70"/>
      <c r="CG19" s="70"/>
      <c r="CJ19" s="70"/>
      <c r="CM19" s="70"/>
      <c r="CP19" s="70"/>
      <c r="CS19" s="70"/>
      <c r="CV19" s="70"/>
      <c r="CY19" s="70"/>
      <c r="DB19" s="70"/>
      <c r="DE19" s="70"/>
    </row>
    <row r="20" spans="1:110" s="74" customFormat="1">
      <c r="B20" s="152" t="s">
        <v>276</v>
      </c>
      <c r="C20" s="75"/>
      <c r="D20" s="218">
        <v>1996</v>
      </c>
      <c r="E20" s="218"/>
      <c r="F20" s="214"/>
      <c r="G20" s="218">
        <v>1989</v>
      </c>
      <c r="H20" s="218">
        <v>1989</v>
      </c>
      <c r="I20" s="213">
        <v>2007</v>
      </c>
      <c r="J20" s="213">
        <v>2007</v>
      </c>
      <c r="K20" s="213">
        <v>2000</v>
      </c>
      <c r="L20" s="213">
        <v>1996</v>
      </c>
      <c r="M20" s="213">
        <v>1996</v>
      </c>
      <c r="N20" s="213">
        <v>2000</v>
      </c>
      <c r="O20" s="213">
        <v>2014</v>
      </c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153"/>
      <c r="AA20" s="213">
        <v>2015</v>
      </c>
      <c r="AB20" s="213"/>
      <c r="AC20" s="213"/>
      <c r="AD20" s="213"/>
      <c r="AE20" s="213">
        <v>2018</v>
      </c>
      <c r="AF20" s="213">
        <v>2018</v>
      </c>
      <c r="AG20" s="213">
        <v>2018</v>
      </c>
      <c r="AH20" s="213">
        <v>2018</v>
      </c>
      <c r="AI20" s="213">
        <v>2013</v>
      </c>
      <c r="AJ20" s="213"/>
      <c r="AK20" s="213"/>
      <c r="AL20" s="213"/>
      <c r="AM20" s="213"/>
      <c r="AN20" s="213"/>
      <c r="AO20" s="213"/>
      <c r="AP20" s="213"/>
      <c r="AQ20" s="213"/>
      <c r="AR20" s="213"/>
      <c r="AS20" s="213">
        <v>1993</v>
      </c>
      <c r="AT20" s="213">
        <v>2003</v>
      </c>
      <c r="AU20" s="213">
        <v>1996</v>
      </c>
      <c r="AV20" s="213"/>
      <c r="AW20" s="213"/>
      <c r="AX20" s="213"/>
      <c r="AY20" s="213">
        <v>2001</v>
      </c>
      <c r="AZ20" s="213"/>
      <c r="BA20" s="213"/>
      <c r="BB20" s="213"/>
      <c r="BC20" s="213">
        <v>1999</v>
      </c>
      <c r="BD20" s="213">
        <v>1997</v>
      </c>
      <c r="BE20" s="213">
        <v>2014</v>
      </c>
      <c r="BF20" s="213">
        <v>2017</v>
      </c>
      <c r="BG20" s="213"/>
      <c r="BH20" s="213"/>
      <c r="BI20" s="213"/>
      <c r="BJ20" s="153"/>
      <c r="BK20" s="213">
        <v>2019</v>
      </c>
      <c r="BL20" s="213">
        <v>2018</v>
      </c>
      <c r="BM20" s="213">
        <v>2007</v>
      </c>
      <c r="BN20" s="213">
        <v>2018</v>
      </c>
      <c r="BO20" s="213"/>
      <c r="BP20" s="213"/>
      <c r="BQ20" s="213"/>
      <c r="BR20" s="153"/>
      <c r="BS20" s="728"/>
      <c r="BT20" s="730"/>
      <c r="BU20" s="70"/>
      <c r="BX20" s="70"/>
      <c r="CA20" s="70"/>
      <c r="CD20" s="70"/>
      <c r="CG20" s="70"/>
      <c r="CJ20" s="70"/>
      <c r="CM20" s="70"/>
      <c r="CP20" s="70"/>
      <c r="CS20" s="70"/>
      <c r="CV20" s="70"/>
      <c r="CY20" s="70"/>
      <c r="DB20" s="70"/>
      <c r="DE20" s="70"/>
    </row>
    <row r="21" spans="1:110" s="74" customFormat="1">
      <c r="B21" s="152" t="s">
        <v>277</v>
      </c>
      <c r="C21" s="75"/>
      <c r="D21" s="230"/>
      <c r="E21" s="230"/>
      <c r="F21" s="215"/>
      <c r="G21" s="230"/>
      <c r="H21" s="230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9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>
        <v>0.25</v>
      </c>
      <c r="AT21" s="236">
        <v>0.5</v>
      </c>
      <c r="AU21" s="236">
        <v>0.25</v>
      </c>
      <c r="AV21" s="236"/>
      <c r="AW21" s="236"/>
      <c r="AX21" s="236"/>
      <c r="AY21" s="236">
        <v>0.5</v>
      </c>
      <c r="AZ21" s="236"/>
      <c r="BA21" s="236"/>
      <c r="BB21" s="236"/>
      <c r="BC21" s="236">
        <v>0.25</v>
      </c>
      <c r="BD21" s="236">
        <v>0.25</v>
      </c>
      <c r="BE21" s="236"/>
      <c r="BF21" s="236"/>
      <c r="BG21" s="236"/>
      <c r="BH21" s="236"/>
      <c r="BI21" s="236"/>
      <c r="BJ21" s="239"/>
      <c r="BK21" s="236"/>
      <c r="BL21" s="236"/>
      <c r="BM21" s="236"/>
      <c r="BN21" s="236"/>
      <c r="BO21" s="236"/>
      <c r="BP21" s="236"/>
      <c r="BQ21" s="236"/>
      <c r="BR21" s="239"/>
      <c r="BS21" s="728"/>
      <c r="BT21" s="730"/>
      <c r="BU21" s="70"/>
      <c r="BX21" s="70"/>
      <c r="CA21" s="70"/>
      <c r="CD21" s="70"/>
      <c r="CG21" s="70"/>
      <c r="CJ21" s="70"/>
      <c r="CM21" s="70"/>
      <c r="CP21" s="70"/>
      <c r="CS21" s="70"/>
      <c r="CV21" s="70"/>
      <c r="CY21" s="70"/>
      <c r="DB21" s="70"/>
      <c r="DE21" s="70"/>
    </row>
    <row r="22" spans="1:110" s="74" customFormat="1">
      <c r="B22" s="152" t="s">
        <v>278</v>
      </c>
      <c r="C22" s="75"/>
      <c r="D22" s="218"/>
      <c r="E22" s="218"/>
      <c r="F22" s="214"/>
      <c r="G22" s="218"/>
      <c r="H22" s="218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15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>
        <v>2018</v>
      </c>
      <c r="AT22" s="213">
        <v>2019</v>
      </c>
      <c r="AU22" s="213">
        <v>2018</v>
      </c>
      <c r="AV22" s="213"/>
      <c r="AW22" s="213"/>
      <c r="AX22" s="213"/>
      <c r="AY22" s="213">
        <v>2017</v>
      </c>
      <c r="AZ22" s="213"/>
      <c r="BA22" s="213"/>
      <c r="BB22" s="213"/>
      <c r="BC22" s="213">
        <v>2020</v>
      </c>
      <c r="BD22" s="213">
        <v>2019</v>
      </c>
      <c r="BE22" s="213"/>
      <c r="BF22" s="213"/>
      <c r="BG22" s="213"/>
      <c r="BH22" s="213"/>
      <c r="BI22" s="213"/>
      <c r="BJ22" s="153"/>
      <c r="BK22" s="213"/>
      <c r="BL22" s="213"/>
      <c r="BM22" s="213"/>
      <c r="BN22" s="213"/>
      <c r="BO22" s="213"/>
      <c r="BP22" s="213"/>
      <c r="BQ22" s="213"/>
      <c r="BR22" s="153"/>
      <c r="BS22" s="728"/>
      <c r="BT22" s="730"/>
      <c r="BU22" s="70"/>
      <c r="BX22" s="70"/>
      <c r="CA22" s="70"/>
      <c r="CD22" s="70"/>
      <c r="CG22" s="70"/>
      <c r="CJ22" s="70"/>
      <c r="CM22" s="70"/>
      <c r="CP22" s="70"/>
      <c r="CS22" s="70"/>
      <c r="CV22" s="70"/>
      <c r="CY22" s="70"/>
      <c r="DB22" s="70"/>
      <c r="DE22" s="70"/>
    </row>
    <row r="23" spans="1:110" s="74" customFormat="1">
      <c r="B23" s="152" t="s">
        <v>279</v>
      </c>
      <c r="C23" s="75"/>
      <c r="D23" s="230"/>
      <c r="E23" s="230"/>
      <c r="F23" s="215"/>
      <c r="G23" s="230"/>
      <c r="H23" s="230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9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9"/>
      <c r="BK23" s="236"/>
      <c r="BL23" s="236"/>
      <c r="BM23" s="213"/>
      <c r="BN23" s="236"/>
      <c r="BO23" s="236"/>
      <c r="BP23" s="236"/>
      <c r="BQ23" s="236"/>
      <c r="BR23" s="239"/>
      <c r="BS23" s="728"/>
      <c r="BT23" s="730"/>
      <c r="BU23" s="70"/>
      <c r="BX23" s="70"/>
      <c r="CA23" s="70"/>
      <c r="CD23" s="70"/>
      <c r="CG23" s="70"/>
      <c r="CJ23" s="70"/>
      <c r="CM23" s="70"/>
      <c r="CP23" s="70"/>
      <c r="CS23" s="70"/>
      <c r="CV23" s="70"/>
      <c r="CY23" s="70"/>
      <c r="DB23" s="70"/>
      <c r="DE23" s="70"/>
    </row>
    <row r="24" spans="1:110" s="264" customFormat="1">
      <c r="A24" s="722" t="s">
        <v>830</v>
      </c>
      <c r="B24" s="265" t="s">
        <v>822</v>
      </c>
      <c r="C24" s="266"/>
      <c r="D24" s="267">
        <f t="shared" ref="D24:I24" si="0">IF(D22&gt;1,D22,IF(D20&gt;1,D20,0))</f>
        <v>1996</v>
      </c>
      <c r="E24" s="267">
        <f t="shared" si="0"/>
        <v>0</v>
      </c>
      <c r="F24" s="267">
        <f t="shared" si="0"/>
        <v>0</v>
      </c>
      <c r="G24" s="267">
        <f t="shared" si="0"/>
        <v>1989</v>
      </c>
      <c r="H24" s="267">
        <f t="shared" si="0"/>
        <v>1989</v>
      </c>
      <c r="I24" s="267">
        <f t="shared" si="0"/>
        <v>2007</v>
      </c>
      <c r="J24" s="267">
        <f t="shared" ref="J24:BQ24" si="1">IF(J22&gt;1,J22,IF(J20&gt;1,J20,0))</f>
        <v>2007</v>
      </c>
      <c r="K24" s="267">
        <f t="shared" si="1"/>
        <v>2000</v>
      </c>
      <c r="L24" s="267">
        <f t="shared" si="1"/>
        <v>1996</v>
      </c>
      <c r="M24" s="267">
        <f t="shared" si="1"/>
        <v>1996</v>
      </c>
      <c r="N24" s="267">
        <f t="shared" si="1"/>
        <v>2000</v>
      </c>
      <c r="O24" s="267">
        <f t="shared" si="1"/>
        <v>2014</v>
      </c>
      <c r="P24" s="267">
        <f t="shared" si="1"/>
        <v>0</v>
      </c>
      <c r="Q24" s="267">
        <f t="shared" si="1"/>
        <v>0</v>
      </c>
      <c r="R24" s="267">
        <f t="shared" si="1"/>
        <v>0</v>
      </c>
      <c r="S24" s="267">
        <f t="shared" si="1"/>
        <v>0</v>
      </c>
      <c r="T24" s="267">
        <f t="shared" si="1"/>
        <v>0</v>
      </c>
      <c r="U24" s="267">
        <f t="shared" si="1"/>
        <v>0</v>
      </c>
      <c r="V24" s="267">
        <f t="shared" si="1"/>
        <v>0</v>
      </c>
      <c r="W24" s="267">
        <f t="shared" si="1"/>
        <v>0</v>
      </c>
      <c r="X24" s="267">
        <f t="shared" si="1"/>
        <v>0</v>
      </c>
      <c r="Y24" s="267">
        <f t="shared" si="1"/>
        <v>0</v>
      </c>
      <c r="Z24" s="267">
        <f t="shared" si="1"/>
        <v>0</v>
      </c>
      <c r="AA24" s="267">
        <f t="shared" si="1"/>
        <v>2015</v>
      </c>
      <c r="AB24" s="267">
        <f t="shared" si="1"/>
        <v>0</v>
      </c>
      <c r="AC24" s="267">
        <f t="shared" si="1"/>
        <v>0</v>
      </c>
      <c r="AD24" s="267">
        <f t="shared" si="1"/>
        <v>0</v>
      </c>
      <c r="AE24" s="267">
        <f t="shared" si="1"/>
        <v>2018</v>
      </c>
      <c r="AF24" s="267">
        <f t="shared" si="1"/>
        <v>2018</v>
      </c>
      <c r="AG24" s="267">
        <f t="shared" si="1"/>
        <v>2018</v>
      </c>
      <c r="AH24" s="267">
        <f t="shared" si="1"/>
        <v>2018</v>
      </c>
      <c r="AI24" s="267">
        <f t="shared" si="1"/>
        <v>2013</v>
      </c>
      <c r="AJ24" s="267">
        <f t="shared" si="1"/>
        <v>0</v>
      </c>
      <c r="AK24" s="267">
        <f t="shared" si="1"/>
        <v>0</v>
      </c>
      <c r="AL24" s="267">
        <f t="shared" si="1"/>
        <v>0</v>
      </c>
      <c r="AM24" s="267">
        <f t="shared" si="1"/>
        <v>0</v>
      </c>
      <c r="AN24" s="267">
        <f t="shared" si="1"/>
        <v>0</v>
      </c>
      <c r="AO24" s="267">
        <f t="shared" si="1"/>
        <v>0</v>
      </c>
      <c r="AP24" s="267">
        <f t="shared" si="1"/>
        <v>0</v>
      </c>
      <c r="AQ24" s="267">
        <f t="shared" si="1"/>
        <v>0</v>
      </c>
      <c r="AR24" s="267">
        <f t="shared" si="1"/>
        <v>0</v>
      </c>
      <c r="AS24" s="267">
        <f t="shared" si="1"/>
        <v>2018</v>
      </c>
      <c r="AT24" s="267">
        <f t="shared" si="1"/>
        <v>2019</v>
      </c>
      <c r="AU24" s="267">
        <f t="shared" si="1"/>
        <v>2018</v>
      </c>
      <c r="AV24" s="267">
        <f t="shared" si="1"/>
        <v>0</v>
      </c>
      <c r="AW24" s="267">
        <f t="shared" si="1"/>
        <v>0</v>
      </c>
      <c r="AX24" s="267">
        <f t="shared" si="1"/>
        <v>0</v>
      </c>
      <c r="AY24" s="267">
        <f t="shared" si="1"/>
        <v>2017</v>
      </c>
      <c r="AZ24" s="267">
        <f t="shared" si="1"/>
        <v>0</v>
      </c>
      <c r="BA24" s="267">
        <f t="shared" si="1"/>
        <v>0</v>
      </c>
      <c r="BB24" s="267">
        <f t="shared" si="1"/>
        <v>0</v>
      </c>
      <c r="BC24" s="267">
        <f t="shared" si="1"/>
        <v>2020</v>
      </c>
      <c r="BD24" s="267">
        <f t="shared" si="1"/>
        <v>2019</v>
      </c>
      <c r="BE24" s="267">
        <f t="shared" si="1"/>
        <v>2014</v>
      </c>
      <c r="BF24" s="267">
        <f t="shared" si="1"/>
        <v>2017</v>
      </c>
      <c r="BG24" s="267">
        <f t="shared" si="1"/>
        <v>0</v>
      </c>
      <c r="BH24" s="267">
        <f t="shared" si="1"/>
        <v>0</v>
      </c>
      <c r="BI24" s="267">
        <f t="shared" si="1"/>
        <v>0</v>
      </c>
      <c r="BJ24" s="267">
        <f t="shared" si="1"/>
        <v>0</v>
      </c>
      <c r="BK24" s="267">
        <f t="shared" si="1"/>
        <v>2019</v>
      </c>
      <c r="BL24" s="267">
        <f t="shared" si="1"/>
        <v>2018</v>
      </c>
      <c r="BM24" s="267">
        <f t="shared" si="1"/>
        <v>2007</v>
      </c>
      <c r="BN24" s="267">
        <f t="shared" si="1"/>
        <v>2018</v>
      </c>
      <c r="BO24" s="267">
        <f t="shared" si="1"/>
        <v>0</v>
      </c>
      <c r="BP24" s="267">
        <f t="shared" si="1"/>
        <v>0</v>
      </c>
      <c r="BQ24" s="267">
        <f t="shared" si="1"/>
        <v>0</v>
      </c>
      <c r="BR24" s="267">
        <f>IF(BR22&gt;1,BR22,IF(BR20&gt;1,BR20,0))</f>
        <v>0</v>
      </c>
      <c r="BS24" s="269"/>
      <c r="BT24" s="269"/>
      <c r="BU24" s="70"/>
      <c r="BV24" s="74"/>
      <c r="BW24" s="74"/>
      <c r="BX24" s="70"/>
      <c r="BY24" s="74"/>
      <c r="BZ24" s="74"/>
      <c r="CA24" s="70"/>
      <c r="CB24" s="74"/>
      <c r="CC24" s="74"/>
      <c r="CD24" s="70"/>
      <c r="CE24" s="74"/>
      <c r="CF24" s="74"/>
      <c r="CG24" s="70"/>
      <c r="CH24" s="74"/>
      <c r="CI24" s="74"/>
      <c r="CJ24" s="70"/>
      <c r="CK24" s="74"/>
      <c r="CL24" s="74"/>
      <c r="CM24" s="70"/>
      <c r="CN24" s="74"/>
      <c r="CO24" s="74"/>
      <c r="CP24" s="70"/>
      <c r="CQ24" s="74"/>
      <c r="CR24" s="74"/>
      <c r="CS24" s="70"/>
      <c r="CT24" s="74"/>
      <c r="CU24" s="74"/>
      <c r="CV24" s="70"/>
      <c r="CW24" s="74"/>
      <c r="CX24" s="74"/>
      <c r="CY24" s="70"/>
      <c r="CZ24" s="74"/>
      <c r="DA24" s="74"/>
      <c r="DB24" s="70"/>
      <c r="DC24" s="74"/>
      <c r="DD24" s="74"/>
      <c r="DE24" s="70"/>
      <c r="DF24" s="74"/>
    </row>
    <row r="25" spans="1:110" s="264" customFormat="1">
      <c r="A25" s="723"/>
      <c r="B25" s="265" t="s">
        <v>826</v>
      </c>
      <c r="C25" s="266"/>
      <c r="D25" s="268">
        <f t="shared" ref="D25:AI25" si="2">IF(D26=1,IF(D23&gt;0,D23,IF(D21&gt;0,D21,100%)))</f>
        <v>1</v>
      </c>
      <c r="E25" s="268" t="b">
        <f t="shared" si="2"/>
        <v>0</v>
      </c>
      <c r="F25" s="268" t="b">
        <f t="shared" si="2"/>
        <v>0</v>
      </c>
      <c r="G25" s="268">
        <f t="shared" si="2"/>
        <v>1</v>
      </c>
      <c r="H25" s="268">
        <f t="shared" si="2"/>
        <v>1</v>
      </c>
      <c r="I25" s="268">
        <f t="shared" si="2"/>
        <v>1</v>
      </c>
      <c r="J25" s="268">
        <f t="shared" si="2"/>
        <v>1</v>
      </c>
      <c r="K25" s="268">
        <f t="shared" si="2"/>
        <v>1</v>
      </c>
      <c r="L25" s="268">
        <f t="shared" si="2"/>
        <v>1</v>
      </c>
      <c r="M25" s="268">
        <f t="shared" si="2"/>
        <v>1</v>
      </c>
      <c r="N25" s="268">
        <f t="shared" si="2"/>
        <v>1</v>
      </c>
      <c r="O25" s="268">
        <f t="shared" si="2"/>
        <v>1</v>
      </c>
      <c r="P25" s="268" t="b">
        <f t="shared" si="2"/>
        <v>0</v>
      </c>
      <c r="Q25" s="268" t="b">
        <f t="shared" si="2"/>
        <v>0</v>
      </c>
      <c r="R25" s="268" t="b">
        <f t="shared" si="2"/>
        <v>0</v>
      </c>
      <c r="S25" s="268" t="b">
        <f t="shared" si="2"/>
        <v>0</v>
      </c>
      <c r="T25" s="268" t="b">
        <f t="shared" si="2"/>
        <v>0</v>
      </c>
      <c r="U25" s="268" t="b">
        <f t="shared" si="2"/>
        <v>0</v>
      </c>
      <c r="V25" s="268" t="b">
        <f t="shared" si="2"/>
        <v>0</v>
      </c>
      <c r="W25" s="268" t="b">
        <f t="shared" si="2"/>
        <v>0</v>
      </c>
      <c r="X25" s="268" t="b">
        <f t="shared" si="2"/>
        <v>0</v>
      </c>
      <c r="Y25" s="268" t="b">
        <f t="shared" si="2"/>
        <v>0</v>
      </c>
      <c r="Z25" s="268" t="b">
        <f t="shared" si="2"/>
        <v>0</v>
      </c>
      <c r="AA25" s="268">
        <f t="shared" si="2"/>
        <v>1</v>
      </c>
      <c r="AB25" s="268" t="b">
        <f t="shared" si="2"/>
        <v>0</v>
      </c>
      <c r="AC25" s="268" t="b">
        <f t="shared" si="2"/>
        <v>0</v>
      </c>
      <c r="AD25" s="268" t="b">
        <f t="shared" si="2"/>
        <v>0</v>
      </c>
      <c r="AE25" s="268">
        <f t="shared" si="2"/>
        <v>1</v>
      </c>
      <c r="AF25" s="268">
        <f t="shared" si="2"/>
        <v>1</v>
      </c>
      <c r="AG25" s="268">
        <f t="shared" si="2"/>
        <v>1</v>
      </c>
      <c r="AH25" s="268">
        <f t="shared" si="2"/>
        <v>1</v>
      </c>
      <c r="AI25" s="268">
        <f t="shared" si="2"/>
        <v>1</v>
      </c>
      <c r="AJ25" s="268" t="b">
        <f t="shared" ref="AJ25:BO25" si="3">IF(AJ26=1,IF(AJ23&gt;0,AJ23,IF(AJ21&gt;0,AJ21,100%)))</f>
        <v>0</v>
      </c>
      <c r="AK25" s="268" t="b">
        <f t="shared" si="3"/>
        <v>0</v>
      </c>
      <c r="AL25" s="268" t="b">
        <f t="shared" si="3"/>
        <v>0</v>
      </c>
      <c r="AM25" s="268" t="b">
        <f t="shared" si="3"/>
        <v>0</v>
      </c>
      <c r="AN25" s="268" t="b">
        <f t="shared" si="3"/>
        <v>0</v>
      </c>
      <c r="AO25" s="268" t="b">
        <f t="shared" si="3"/>
        <v>0</v>
      </c>
      <c r="AP25" s="268" t="b">
        <f t="shared" si="3"/>
        <v>0</v>
      </c>
      <c r="AQ25" s="268" t="b">
        <f t="shared" si="3"/>
        <v>0</v>
      </c>
      <c r="AR25" s="268" t="b">
        <f t="shared" si="3"/>
        <v>0</v>
      </c>
      <c r="AS25" s="268">
        <f t="shared" si="3"/>
        <v>0.25</v>
      </c>
      <c r="AT25" s="268">
        <f t="shared" si="3"/>
        <v>0.5</v>
      </c>
      <c r="AU25" s="268">
        <f t="shared" si="3"/>
        <v>0.25</v>
      </c>
      <c r="AV25" s="268" t="b">
        <f t="shared" si="3"/>
        <v>0</v>
      </c>
      <c r="AW25" s="268" t="b">
        <f t="shared" si="3"/>
        <v>0</v>
      </c>
      <c r="AX25" s="268" t="b">
        <f t="shared" si="3"/>
        <v>0</v>
      </c>
      <c r="AY25" s="268">
        <f t="shared" si="3"/>
        <v>0.5</v>
      </c>
      <c r="AZ25" s="268" t="b">
        <f t="shared" si="3"/>
        <v>0</v>
      </c>
      <c r="BA25" s="268" t="b">
        <f t="shared" si="3"/>
        <v>0</v>
      </c>
      <c r="BB25" s="268" t="b">
        <f t="shared" si="3"/>
        <v>0</v>
      </c>
      <c r="BC25" s="268">
        <f t="shared" si="3"/>
        <v>0.25</v>
      </c>
      <c r="BD25" s="268">
        <f t="shared" si="3"/>
        <v>0.25</v>
      </c>
      <c r="BE25" s="268">
        <f t="shared" si="3"/>
        <v>1</v>
      </c>
      <c r="BF25" s="268">
        <f t="shared" si="3"/>
        <v>1</v>
      </c>
      <c r="BG25" s="268" t="b">
        <f t="shared" si="3"/>
        <v>0</v>
      </c>
      <c r="BH25" s="268" t="b">
        <f t="shared" si="3"/>
        <v>0</v>
      </c>
      <c r="BI25" s="268" t="b">
        <f t="shared" si="3"/>
        <v>0</v>
      </c>
      <c r="BJ25" s="268" t="b">
        <f t="shared" si="3"/>
        <v>0</v>
      </c>
      <c r="BK25" s="268">
        <f t="shared" si="3"/>
        <v>1</v>
      </c>
      <c r="BL25" s="268">
        <f t="shared" si="3"/>
        <v>1</v>
      </c>
      <c r="BM25" s="268">
        <f t="shared" si="3"/>
        <v>1</v>
      </c>
      <c r="BN25" s="268">
        <f t="shared" si="3"/>
        <v>1</v>
      </c>
      <c r="BO25" s="268" t="b">
        <f t="shared" si="3"/>
        <v>0</v>
      </c>
      <c r="BP25" s="268" t="b">
        <f>IF(BP26=1,IF(BP23&gt;0,BP23,IF(BP21&gt;0,BP21,100%)))</f>
        <v>0</v>
      </c>
      <c r="BQ25" s="268" t="b">
        <f>IF(BQ26=1,IF(BQ23&gt;0,BQ23,IF(BQ21&gt;0,BQ21,100%)))</f>
        <v>0</v>
      </c>
      <c r="BR25" s="267"/>
      <c r="BS25" s="269"/>
      <c r="BT25" s="269"/>
      <c r="BU25" s="70"/>
      <c r="BV25" s="74"/>
      <c r="BW25" s="74"/>
      <c r="BX25" s="70"/>
      <c r="BY25" s="74"/>
      <c r="BZ25" s="74"/>
      <c r="CA25" s="70"/>
      <c r="CB25" s="74"/>
      <c r="CC25" s="74"/>
      <c r="CD25" s="70"/>
      <c r="CE25" s="74"/>
      <c r="CF25" s="74"/>
      <c r="CG25" s="70"/>
      <c r="CH25" s="74"/>
      <c r="CI25" s="74"/>
      <c r="CJ25" s="70"/>
      <c r="CK25" s="74"/>
      <c r="CL25" s="74"/>
      <c r="CM25" s="70"/>
      <c r="CN25" s="74"/>
      <c r="CO25" s="74"/>
      <c r="CP25" s="70"/>
      <c r="CQ25" s="74"/>
      <c r="CR25" s="74"/>
      <c r="CS25" s="70"/>
      <c r="CT25" s="74"/>
      <c r="CU25" s="74"/>
      <c r="CV25" s="70"/>
      <c r="CW25" s="74"/>
      <c r="CX25" s="74"/>
      <c r="CY25" s="70"/>
      <c r="CZ25" s="74"/>
      <c r="DA25" s="74"/>
      <c r="DB25" s="70"/>
      <c r="DC25" s="74"/>
      <c r="DD25" s="74"/>
      <c r="DE25" s="70"/>
      <c r="DF25" s="74"/>
    </row>
    <row r="26" spans="1:110" s="264" customFormat="1">
      <c r="A26" s="723"/>
      <c r="B26" s="265" t="s">
        <v>825</v>
      </c>
      <c r="C26" s="266"/>
      <c r="D26" s="267">
        <f t="shared" ref="D26:AI26" si="4">IF(($C$7-$C$6)&gt;D24,0,1)</f>
        <v>1</v>
      </c>
      <c r="E26" s="267">
        <f t="shared" si="4"/>
        <v>0</v>
      </c>
      <c r="F26" s="267">
        <f t="shared" si="4"/>
        <v>0</v>
      </c>
      <c r="G26" s="267">
        <f t="shared" si="4"/>
        <v>1</v>
      </c>
      <c r="H26" s="267">
        <f t="shared" si="4"/>
        <v>1</v>
      </c>
      <c r="I26" s="267">
        <f t="shared" si="4"/>
        <v>1</v>
      </c>
      <c r="J26" s="267">
        <f t="shared" si="4"/>
        <v>1</v>
      </c>
      <c r="K26" s="267">
        <f t="shared" si="4"/>
        <v>1</v>
      </c>
      <c r="L26" s="267">
        <f t="shared" si="4"/>
        <v>1</v>
      </c>
      <c r="M26" s="267">
        <f t="shared" si="4"/>
        <v>1</v>
      </c>
      <c r="N26" s="267">
        <f t="shared" si="4"/>
        <v>1</v>
      </c>
      <c r="O26" s="267">
        <f t="shared" si="4"/>
        <v>1</v>
      </c>
      <c r="P26" s="267">
        <f t="shared" si="4"/>
        <v>0</v>
      </c>
      <c r="Q26" s="267">
        <f t="shared" si="4"/>
        <v>0</v>
      </c>
      <c r="R26" s="267">
        <f t="shared" si="4"/>
        <v>0</v>
      </c>
      <c r="S26" s="267">
        <f t="shared" si="4"/>
        <v>0</v>
      </c>
      <c r="T26" s="267">
        <f t="shared" si="4"/>
        <v>0</v>
      </c>
      <c r="U26" s="267">
        <f t="shared" si="4"/>
        <v>0</v>
      </c>
      <c r="V26" s="267">
        <f t="shared" si="4"/>
        <v>0</v>
      </c>
      <c r="W26" s="267">
        <f t="shared" si="4"/>
        <v>0</v>
      </c>
      <c r="X26" s="267">
        <f t="shared" si="4"/>
        <v>0</v>
      </c>
      <c r="Y26" s="267">
        <f t="shared" si="4"/>
        <v>0</v>
      </c>
      <c r="Z26" s="267">
        <f t="shared" si="4"/>
        <v>0</v>
      </c>
      <c r="AA26" s="267">
        <f t="shared" si="4"/>
        <v>1</v>
      </c>
      <c r="AB26" s="267">
        <f t="shared" si="4"/>
        <v>0</v>
      </c>
      <c r="AC26" s="267">
        <f t="shared" si="4"/>
        <v>0</v>
      </c>
      <c r="AD26" s="267">
        <f t="shared" si="4"/>
        <v>0</v>
      </c>
      <c r="AE26" s="267">
        <f t="shared" si="4"/>
        <v>1</v>
      </c>
      <c r="AF26" s="267">
        <f t="shared" si="4"/>
        <v>1</v>
      </c>
      <c r="AG26" s="267">
        <f t="shared" si="4"/>
        <v>1</v>
      </c>
      <c r="AH26" s="267">
        <f t="shared" si="4"/>
        <v>1</v>
      </c>
      <c r="AI26" s="267">
        <f t="shared" si="4"/>
        <v>1</v>
      </c>
      <c r="AJ26" s="267">
        <f t="shared" ref="AJ26:BQ26" si="5">IF(($C$7-$C$6)&gt;AJ24,0,1)</f>
        <v>0</v>
      </c>
      <c r="AK26" s="267">
        <f t="shared" si="5"/>
        <v>0</v>
      </c>
      <c r="AL26" s="267">
        <f t="shared" si="5"/>
        <v>0</v>
      </c>
      <c r="AM26" s="267">
        <f t="shared" si="5"/>
        <v>0</v>
      </c>
      <c r="AN26" s="267">
        <f t="shared" si="5"/>
        <v>0</v>
      </c>
      <c r="AO26" s="267">
        <f t="shared" si="5"/>
        <v>0</v>
      </c>
      <c r="AP26" s="267">
        <f t="shared" si="5"/>
        <v>0</v>
      </c>
      <c r="AQ26" s="267">
        <f t="shared" si="5"/>
        <v>0</v>
      </c>
      <c r="AR26" s="267">
        <f t="shared" si="5"/>
        <v>0</v>
      </c>
      <c r="AS26" s="267">
        <f t="shared" si="5"/>
        <v>1</v>
      </c>
      <c r="AT26" s="267">
        <f t="shared" si="5"/>
        <v>1</v>
      </c>
      <c r="AU26" s="267">
        <f t="shared" si="5"/>
        <v>1</v>
      </c>
      <c r="AV26" s="267">
        <f t="shared" si="5"/>
        <v>0</v>
      </c>
      <c r="AW26" s="267">
        <f t="shared" si="5"/>
        <v>0</v>
      </c>
      <c r="AX26" s="267">
        <f t="shared" si="5"/>
        <v>0</v>
      </c>
      <c r="AY26" s="267">
        <f t="shared" si="5"/>
        <v>1</v>
      </c>
      <c r="AZ26" s="267">
        <f t="shared" si="5"/>
        <v>0</v>
      </c>
      <c r="BA26" s="267">
        <f t="shared" si="5"/>
        <v>0</v>
      </c>
      <c r="BB26" s="267">
        <f t="shared" si="5"/>
        <v>0</v>
      </c>
      <c r="BC26" s="267">
        <f t="shared" si="5"/>
        <v>1</v>
      </c>
      <c r="BD26" s="267">
        <f t="shared" si="5"/>
        <v>1</v>
      </c>
      <c r="BE26" s="267">
        <f t="shared" si="5"/>
        <v>1</v>
      </c>
      <c r="BF26" s="267">
        <f t="shared" si="5"/>
        <v>1</v>
      </c>
      <c r="BG26" s="267">
        <f t="shared" si="5"/>
        <v>0</v>
      </c>
      <c r="BH26" s="267">
        <f t="shared" si="5"/>
        <v>0</v>
      </c>
      <c r="BI26" s="267">
        <f t="shared" si="5"/>
        <v>0</v>
      </c>
      <c r="BJ26" s="267">
        <f t="shared" si="5"/>
        <v>0</v>
      </c>
      <c r="BK26" s="267">
        <f t="shared" si="5"/>
        <v>1</v>
      </c>
      <c r="BL26" s="267">
        <f t="shared" si="5"/>
        <v>1</v>
      </c>
      <c r="BM26" s="267">
        <f t="shared" si="5"/>
        <v>1</v>
      </c>
      <c r="BN26" s="267">
        <f t="shared" si="5"/>
        <v>1</v>
      </c>
      <c r="BO26" s="267">
        <f t="shared" si="5"/>
        <v>0</v>
      </c>
      <c r="BP26" s="267">
        <f t="shared" si="5"/>
        <v>0</v>
      </c>
      <c r="BQ26" s="267">
        <f t="shared" si="5"/>
        <v>0</v>
      </c>
      <c r="BR26" s="267"/>
      <c r="BS26" s="269"/>
      <c r="BT26" s="269"/>
      <c r="BU26" s="70"/>
      <c r="BV26" s="74"/>
      <c r="BW26" s="74"/>
      <c r="BX26" s="70"/>
      <c r="BY26" s="74"/>
      <c r="BZ26" s="74"/>
      <c r="CA26" s="70"/>
      <c r="CB26" s="74"/>
      <c r="CC26" s="74"/>
      <c r="CD26" s="70"/>
      <c r="CE26" s="74"/>
      <c r="CF26" s="74"/>
      <c r="CG26" s="70"/>
      <c r="CH26" s="74"/>
      <c r="CI26" s="74"/>
      <c r="CJ26" s="70"/>
      <c r="CK26" s="74"/>
      <c r="CL26" s="74"/>
      <c r="CM26" s="70"/>
      <c r="CN26" s="74"/>
      <c r="CO26" s="74"/>
      <c r="CP26" s="70"/>
      <c r="CQ26" s="74"/>
      <c r="CR26" s="74"/>
      <c r="CS26" s="70"/>
      <c r="CT26" s="74"/>
      <c r="CU26" s="74"/>
      <c r="CV26" s="70"/>
      <c r="CW26" s="74"/>
      <c r="CX26" s="74"/>
      <c r="CY26" s="70"/>
      <c r="CZ26" s="74"/>
      <c r="DA26" s="74"/>
      <c r="DB26" s="70"/>
      <c r="DC26" s="74"/>
      <c r="DD26" s="74"/>
      <c r="DE26" s="70"/>
      <c r="DF26" s="74"/>
    </row>
    <row r="27" spans="1:110" s="264" customFormat="1" ht="13.8" thickBot="1">
      <c r="A27" s="723"/>
      <c r="B27" s="265" t="s">
        <v>824</v>
      </c>
      <c r="C27" s="266"/>
      <c r="D27" s="270">
        <f t="shared" ref="D27:AI27" si="6">IF(($C$7-$C$6)&gt;D19,0,1)</f>
        <v>0</v>
      </c>
      <c r="E27" s="270">
        <f t="shared" si="6"/>
        <v>1</v>
      </c>
      <c r="F27" s="270">
        <f t="shared" si="6"/>
        <v>0</v>
      </c>
      <c r="G27" s="270">
        <f t="shared" si="6"/>
        <v>0</v>
      </c>
      <c r="H27" s="270">
        <f t="shared" si="6"/>
        <v>0</v>
      </c>
      <c r="I27" s="270">
        <f t="shared" si="6"/>
        <v>0</v>
      </c>
      <c r="J27" s="270">
        <f t="shared" si="6"/>
        <v>0</v>
      </c>
      <c r="K27" s="270">
        <f t="shared" si="6"/>
        <v>0</v>
      </c>
      <c r="L27" s="270">
        <f t="shared" si="6"/>
        <v>0</v>
      </c>
      <c r="M27" s="270">
        <f t="shared" si="6"/>
        <v>0</v>
      </c>
      <c r="N27" s="270">
        <f t="shared" si="6"/>
        <v>0</v>
      </c>
      <c r="O27" s="270">
        <f t="shared" si="6"/>
        <v>1</v>
      </c>
      <c r="P27" s="270">
        <f t="shared" si="6"/>
        <v>1</v>
      </c>
      <c r="Q27" s="270">
        <f t="shared" si="6"/>
        <v>1</v>
      </c>
      <c r="R27" s="270">
        <f t="shared" si="6"/>
        <v>0</v>
      </c>
      <c r="S27" s="270">
        <f t="shared" si="6"/>
        <v>0</v>
      </c>
      <c r="T27" s="270">
        <f t="shared" si="6"/>
        <v>0</v>
      </c>
      <c r="U27" s="270">
        <f t="shared" si="6"/>
        <v>0</v>
      </c>
      <c r="V27" s="270">
        <f t="shared" si="6"/>
        <v>0</v>
      </c>
      <c r="W27" s="270">
        <f t="shared" si="6"/>
        <v>0</v>
      </c>
      <c r="X27" s="270">
        <f t="shared" si="6"/>
        <v>0</v>
      </c>
      <c r="Y27" s="270">
        <f t="shared" si="6"/>
        <v>0</v>
      </c>
      <c r="Z27" s="270">
        <f t="shared" si="6"/>
        <v>0</v>
      </c>
      <c r="AA27" s="270">
        <f t="shared" si="6"/>
        <v>0</v>
      </c>
      <c r="AB27" s="270">
        <f t="shared" si="6"/>
        <v>0</v>
      </c>
      <c r="AC27" s="270">
        <f t="shared" si="6"/>
        <v>1</v>
      </c>
      <c r="AD27" s="270">
        <f t="shared" si="6"/>
        <v>0</v>
      </c>
      <c r="AE27" s="270">
        <f t="shared" si="6"/>
        <v>0</v>
      </c>
      <c r="AF27" s="270">
        <f t="shared" si="6"/>
        <v>0</v>
      </c>
      <c r="AG27" s="270">
        <f t="shared" si="6"/>
        <v>0</v>
      </c>
      <c r="AH27" s="270">
        <f t="shared" si="6"/>
        <v>0</v>
      </c>
      <c r="AI27" s="270">
        <f t="shared" si="6"/>
        <v>0</v>
      </c>
      <c r="AJ27" s="270">
        <f t="shared" ref="AJ27:BQ27" si="7">IF(($C$7-$C$6)&gt;AJ19,0,1)</f>
        <v>0</v>
      </c>
      <c r="AK27" s="270">
        <f t="shared" si="7"/>
        <v>0</v>
      </c>
      <c r="AL27" s="270">
        <f t="shared" si="7"/>
        <v>0</v>
      </c>
      <c r="AM27" s="270">
        <f t="shared" si="7"/>
        <v>0</v>
      </c>
      <c r="AN27" s="270">
        <f t="shared" si="7"/>
        <v>0</v>
      </c>
      <c r="AO27" s="270">
        <f t="shared" si="7"/>
        <v>0</v>
      </c>
      <c r="AP27" s="270">
        <f t="shared" si="7"/>
        <v>0</v>
      </c>
      <c r="AQ27" s="270">
        <f t="shared" si="7"/>
        <v>1</v>
      </c>
      <c r="AR27" s="270">
        <f t="shared" si="7"/>
        <v>0</v>
      </c>
      <c r="AS27" s="270">
        <f t="shared" si="7"/>
        <v>0</v>
      </c>
      <c r="AT27" s="270">
        <f t="shared" si="7"/>
        <v>0</v>
      </c>
      <c r="AU27" s="270">
        <f t="shared" si="7"/>
        <v>0</v>
      </c>
      <c r="AV27" s="270">
        <f t="shared" si="7"/>
        <v>0</v>
      </c>
      <c r="AW27" s="270">
        <f t="shared" si="7"/>
        <v>0</v>
      </c>
      <c r="AX27" s="270">
        <f t="shared" si="7"/>
        <v>0</v>
      </c>
      <c r="AY27" s="270">
        <f t="shared" si="7"/>
        <v>0</v>
      </c>
      <c r="AZ27" s="270">
        <f t="shared" si="7"/>
        <v>0</v>
      </c>
      <c r="BA27" s="270">
        <f t="shared" si="7"/>
        <v>0</v>
      </c>
      <c r="BB27" s="270">
        <f t="shared" si="7"/>
        <v>1</v>
      </c>
      <c r="BC27" s="270">
        <f t="shared" si="7"/>
        <v>0</v>
      </c>
      <c r="BD27" s="270">
        <f t="shared" si="7"/>
        <v>0</v>
      </c>
      <c r="BE27" s="270">
        <f t="shared" si="7"/>
        <v>0</v>
      </c>
      <c r="BF27" s="270">
        <f t="shared" si="7"/>
        <v>0</v>
      </c>
      <c r="BG27" s="270">
        <f t="shared" si="7"/>
        <v>0</v>
      </c>
      <c r="BH27" s="270">
        <f t="shared" si="7"/>
        <v>0</v>
      </c>
      <c r="BI27" s="270">
        <f t="shared" si="7"/>
        <v>0</v>
      </c>
      <c r="BJ27" s="270">
        <f t="shared" si="7"/>
        <v>0</v>
      </c>
      <c r="BK27" s="270">
        <f t="shared" si="7"/>
        <v>0</v>
      </c>
      <c r="BL27" s="270">
        <f t="shared" si="7"/>
        <v>0</v>
      </c>
      <c r="BM27" s="270">
        <f t="shared" si="7"/>
        <v>0</v>
      </c>
      <c r="BN27" s="270">
        <f t="shared" si="7"/>
        <v>0</v>
      </c>
      <c r="BO27" s="270">
        <f t="shared" si="7"/>
        <v>1</v>
      </c>
      <c r="BP27" s="270">
        <f t="shared" si="7"/>
        <v>0</v>
      </c>
      <c r="BQ27" s="270">
        <f t="shared" si="7"/>
        <v>1</v>
      </c>
      <c r="BR27" s="271"/>
      <c r="BU27" s="70"/>
      <c r="BV27" s="74"/>
      <c r="BW27" s="74"/>
      <c r="BX27" s="70"/>
      <c r="BY27" s="74"/>
      <c r="BZ27" s="74"/>
      <c r="CA27" s="70"/>
      <c r="CB27" s="74"/>
      <c r="CC27" s="74"/>
      <c r="CD27" s="70"/>
      <c r="CE27" s="74"/>
      <c r="CF27" s="74"/>
      <c r="CG27" s="70"/>
      <c r="CH27" s="74"/>
      <c r="CI27" s="74"/>
      <c r="CJ27" s="70"/>
      <c r="CK27" s="74"/>
      <c r="CL27" s="74"/>
      <c r="CM27" s="70"/>
      <c r="CN27" s="74"/>
      <c r="CO27" s="74"/>
      <c r="CP27" s="70"/>
      <c r="CQ27" s="74"/>
      <c r="CR27" s="74"/>
      <c r="CS27" s="70"/>
      <c r="CT27" s="74"/>
      <c r="CU27" s="74"/>
      <c r="CV27" s="70"/>
      <c r="CW27" s="74"/>
      <c r="CX27" s="74"/>
      <c r="CY27" s="70"/>
      <c r="CZ27" s="74"/>
      <c r="DA27" s="74"/>
      <c r="DB27" s="70"/>
      <c r="DC27" s="74"/>
      <c r="DD27" s="74"/>
      <c r="DE27" s="70"/>
      <c r="DF27" s="74"/>
    </row>
    <row r="28" spans="1:110" ht="13.8" thickTop="1">
      <c r="A28" s="76"/>
      <c r="B28" s="712" t="s">
        <v>280</v>
      </c>
      <c r="C28" s="220">
        <v>2009</v>
      </c>
      <c r="D28" s="233">
        <v>6388.84</v>
      </c>
      <c r="E28" s="221">
        <v>3016.09</v>
      </c>
      <c r="F28" s="222">
        <f t="shared" ref="F28:F39" si="8">D28+E28</f>
        <v>9404.93</v>
      </c>
      <c r="G28" s="221">
        <v>7189.11</v>
      </c>
      <c r="H28" s="221">
        <v>7898.08</v>
      </c>
      <c r="I28" s="221">
        <v>7701.25</v>
      </c>
      <c r="J28" s="221">
        <v>7701</v>
      </c>
      <c r="K28" s="221">
        <v>6874</v>
      </c>
      <c r="L28" s="221">
        <v>6821.27</v>
      </c>
      <c r="M28" s="221">
        <v>5197.05</v>
      </c>
      <c r="N28" s="221">
        <v>6874</v>
      </c>
      <c r="O28" s="221">
        <v>6006</v>
      </c>
      <c r="P28" s="221">
        <v>5842.95</v>
      </c>
      <c r="Q28" s="221">
        <v>5065</v>
      </c>
      <c r="R28" s="221">
        <v>364.12</v>
      </c>
      <c r="S28" s="221">
        <v>134.15</v>
      </c>
      <c r="T28" s="221">
        <v>262.5</v>
      </c>
      <c r="U28" s="221">
        <v>331.14</v>
      </c>
      <c r="V28" s="221">
        <v>112.5</v>
      </c>
      <c r="W28" s="221">
        <v>230.05</v>
      </c>
      <c r="X28" s="221">
        <v>230.05</v>
      </c>
      <c r="Y28" s="221">
        <v>274.72000000000003</v>
      </c>
      <c r="Z28" s="240">
        <f t="shared" ref="Z28:Z39" si="9">G28+H28+I28+J28+K28+L28+M28+N28+O28+Q28+R28+S28+T28+U28+V28+W28+X28+Y28</f>
        <v>69265.990000000005</v>
      </c>
      <c r="AA28" s="221">
        <v>300</v>
      </c>
      <c r="AB28" s="221">
        <v>215.76</v>
      </c>
      <c r="AC28" s="221">
        <v>8183.23</v>
      </c>
      <c r="AD28" s="221">
        <v>4992.7</v>
      </c>
      <c r="AE28" s="221">
        <v>1505.71</v>
      </c>
      <c r="AF28" s="221">
        <v>1505.71</v>
      </c>
      <c r="AG28" s="221">
        <v>1543.72</v>
      </c>
      <c r="AH28" s="221">
        <v>1505.71</v>
      </c>
      <c r="AI28" s="221">
        <v>4357.6099999999997</v>
      </c>
      <c r="AJ28" s="221">
        <v>2668.7</v>
      </c>
      <c r="AK28" s="238">
        <v>1585.3</v>
      </c>
      <c r="AL28" s="221">
        <v>980.78</v>
      </c>
      <c r="AM28" s="238">
        <v>103.74</v>
      </c>
      <c r="AN28" s="238">
        <v>2427.71</v>
      </c>
      <c r="AO28" s="238">
        <v>577.42999999999995</v>
      </c>
      <c r="AP28" s="238">
        <v>3359.68</v>
      </c>
      <c r="AQ28" s="238">
        <v>5215</v>
      </c>
      <c r="AR28" s="221">
        <v>704.62</v>
      </c>
      <c r="AS28" s="221">
        <v>13141.6</v>
      </c>
      <c r="AT28" s="221">
        <v>7300.44</v>
      </c>
      <c r="AU28" s="221">
        <v>5085</v>
      </c>
      <c r="AV28" s="221">
        <v>3757.08</v>
      </c>
      <c r="AW28" s="221">
        <v>3764.54</v>
      </c>
      <c r="AX28" s="221">
        <v>46.08</v>
      </c>
      <c r="AY28" s="221">
        <v>7013.02</v>
      </c>
      <c r="AZ28" s="221">
        <v>704.62</v>
      </c>
      <c r="BA28" s="221">
        <v>417.79</v>
      </c>
      <c r="BB28" s="245">
        <v>82</v>
      </c>
      <c r="BC28" s="221">
        <v>8071.43</v>
      </c>
      <c r="BD28" s="221">
        <v>8379.48</v>
      </c>
      <c r="BE28" s="221">
        <v>704.62</v>
      </c>
      <c r="BF28" s="221">
        <v>5513.11</v>
      </c>
      <c r="BG28" s="221">
        <v>2101.92</v>
      </c>
      <c r="BH28" s="223">
        <v>1290</v>
      </c>
      <c r="BI28" s="221">
        <v>938.07</v>
      </c>
      <c r="BJ28" s="222">
        <f t="shared" ref="BJ28:BJ51" si="10">SUM(AA28:BI28)</f>
        <v>110043.90999999999</v>
      </c>
      <c r="BK28" s="221">
        <v>6994.22</v>
      </c>
      <c r="BL28" s="238">
        <v>5730</v>
      </c>
      <c r="BM28" s="245">
        <v>4205.07</v>
      </c>
      <c r="BN28" s="221">
        <v>7252.31</v>
      </c>
      <c r="BO28" s="221">
        <v>257</v>
      </c>
      <c r="BP28" s="221">
        <v>5888.61</v>
      </c>
      <c r="BQ28" s="221">
        <v>1471</v>
      </c>
      <c r="BR28" s="240">
        <f t="shared" ref="BR28:BR39" si="11">BK28+BL28+BM28+BN28+BO28+BP28</f>
        <v>30327.210000000003</v>
      </c>
      <c r="BS28" s="240">
        <f t="shared" ref="BS28:BS51" si="12">BJ28+BR28</f>
        <v>140371.12</v>
      </c>
      <c r="BT28" s="248">
        <f t="shared" ref="BT28:BT51" si="13">F28+Z28+BS28</f>
        <v>219042.04</v>
      </c>
      <c r="BV28" s="74"/>
      <c r="BW28" s="74"/>
      <c r="BY28" s="74"/>
      <c r="BZ28" s="74"/>
      <c r="CB28" s="74"/>
      <c r="CC28" s="74"/>
      <c r="CE28" s="74"/>
      <c r="CF28" s="74"/>
      <c r="CH28" s="74"/>
      <c r="CI28" s="74"/>
      <c r="CK28" s="74"/>
      <c r="CL28" s="74"/>
      <c r="CN28" s="74"/>
      <c r="CO28" s="74"/>
      <c r="CQ28" s="74"/>
      <c r="CR28" s="74"/>
      <c r="CT28" s="74"/>
      <c r="CU28" s="74"/>
      <c r="CW28" s="74"/>
      <c r="CX28" s="74"/>
      <c r="CZ28" s="74"/>
      <c r="DA28" s="74"/>
      <c r="DC28" s="74"/>
      <c r="DD28" s="74"/>
      <c r="DF28" s="74"/>
    </row>
    <row r="29" spans="1:110">
      <c r="A29" s="76"/>
      <c r="B29" s="713"/>
      <c r="C29" s="216">
        <v>2010</v>
      </c>
      <c r="D29" s="234">
        <v>6388.84</v>
      </c>
      <c r="E29" s="218">
        <v>3016.09</v>
      </c>
      <c r="F29" s="214">
        <f t="shared" si="8"/>
        <v>9404.93</v>
      </c>
      <c r="G29" s="218">
        <v>7189.11</v>
      </c>
      <c r="H29" s="218">
        <v>7898.08</v>
      </c>
      <c r="I29" s="218">
        <v>7701.25</v>
      </c>
      <c r="J29" s="218">
        <v>7701</v>
      </c>
      <c r="K29" s="218">
        <v>6874</v>
      </c>
      <c r="L29" s="218">
        <v>6821.27</v>
      </c>
      <c r="M29" s="218">
        <v>5197.05</v>
      </c>
      <c r="N29" s="218">
        <v>6874</v>
      </c>
      <c r="O29" s="218">
        <v>6006</v>
      </c>
      <c r="P29" s="218">
        <v>5842.95</v>
      </c>
      <c r="Q29" s="218">
        <v>5065</v>
      </c>
      <c r="R29" s="218">
        <v>364.12</v>
      </c>
      <c r="S29" s="218">
        <v>134.15</v>
      </c>
      <c r="T29" s="218">
        <v>262.5</v>
      </c>
      <c r="U29" s="218">
        <v>331.14</v>
      </c>
      <c r="V29" s="218">
        <v>112.5</v>
      </c>
      <c r="W29" s="218">
        <v>230.05</v>
      </c>
      <c r="X29" s="218">
        <v>230.05</v>
      </c>
      <c r="Y29" s="218">
        <v>274.72000000000003</v>
      </c>
      <c r="Z29" s="153">
        <f t="shared" si="9"/>
        <v>69265.990000000005</v>
      </c>
      <c r="AA29" s="218">
        <v>300</v>
      </c>
      <c r="AB29" s="218">
        <v>215.76</v>
      </c>
      <c r="AC29" s="218">
        <v>8183.23</v>
      </c>
      <c r="AD29" s="218">
        <v>4992.7</v>
      </c>
      <c r="AE29" s="218">
        <v>1505.71</v>
      </c>
      <c r="AF29" s="218">
        <v>1505.71</v>
      </c>
      <c r="AG29" s="218">
        <v>1543.72</v>
      </c>
      <c r="AH29" s="218">
        <v>1505.71</v>
      </c>
      <c r="AI29" s="218">
        <v>4357.6099999999997</v>
      </c>
      <c r="AJ29" s="218">
        <v>2668.7</v>
      </c>
      <c r="AK29" s="235">
        <v>1585.3</v>
      </c>
      <c r="AL29" s="218">
        <v>980.78</v>
      </c>
      <c r="AM29" s="235">
        <v>103.74</v>
      </c>
      <c r="AN29" s="235">
        <v>2427.71</v>
      </c>
      <c r="AO29" s="235">
        <v>577.42999999999995</v>
      </c>
      <c r="AP29" s="235">
        <v>3359.68</v>
      </c>
      <c r="AQ29" s="235">
        <v>5215</v>
      </c>
      <c r="AR29" s="218">
        <v>704.62</v>
      </c>
      <c r="AS29" s="218">
        <v>13141.6</v>
      </c>
      <c r="AT29" s="218">
        <v>7300.44</v>
      </c>
      <c r="AU29" s="218">
        <v>5085</v>
      </c>
      <c r="AV29" s="218">
        <v>3757.08</v>
      </c>
      <c r="AW29" s="218">
        <v>3764.54</v>
      </c>
      <c r="AX29" s="218">
        <v>46.08</v>
      </c>
      <c r="AY29" s="218">
        <v>7013.02</v>
      </c>
      <c r="AZ29" s="218">
        <v>704.62</v>
      </c>
      <c r="BA29" s="218">
        <v>417.79</v>
      </c>
      <c r="BB29" s="243">
        <v>82</v>
      </c>
      <c r="BC29" s="218">
        <v>8071.43</v>
      </c>
      <c r="BD29" s="218">
        <v>8379.48</v>
      </c>
      <c r="BE29" s="218">
        <v>704.62</v>
      </c>
      <c r="BF29" s="218">
        <v>5513.11</v>
      </c>
      <c r="BG29" s="218">
        <v>2101.92</v>
      </c>
      <c r="BH29" s="213">
        <v>1290</v>
      </c>
      <c r="BI29" s="218">
        <v>938.07</v>
      </c>
      <c r="BJ29" s="214">
        <f t="shared" si="10"/>
        <v>110043.90999999999</v>
      </c>
      <c r="BK29" s="218">
        <v>6994.22</v>
      </c>
      <c r="BL29" s="235">
        <v>5730</v>
      </c>
      <c r="BM29" s="243">
        <v>4205.07</v>
      </c>
      <c r="BN29" s="218">
        <v>7252.31</v>
      </c>
      <c r="BO29" s="218">
        <v>257</v>
      </c>
      <c r="BP29" s="218">
        <v>5888.61</v>
      </c>
      <c r="BQ29" s="218">
        <v>1471</v>
      </c>
      <c r="BR29" s="153">
        <f t="shared" si="11"/>
        <v>30327.210000000003</v>
      </c>
      <c r="BS29" s="153">
        <f t="shared" si="12"/>
        <v>140371.12</v>
      </c>
      <c r="BT29" s="249">
        <f t="shared" si="13"/>
        <v>219042.04</v>
      </c>
      <c r="BV29" s="74"/>
      <c r="BW29" s="74"/>
      <c r="BY29" s="74"/>
      <c r="BZ29" s="74"/>
      <c r="CB29" s="74"/>
      <c r="CC29" s="74"/>
      <c r="CE29" s="74"/>
      <c r="CF29" s="74"/>
      <c r="CH29" s="74"/>
      <c r="CI29" s="74"/>
      <c r="CK29" s="74"/>
      <c r="CL29" s="74"/>
      <c r="CN29" s="74"/>
      <c r="CO29" s="74"/>
      <c r="CQ29" s="74"/>
      <c r="CR29" s="74"/>
      <c r="CT29" s="74"/>
      <c r="CU29" s="74"/>
      <c r="CW29" s="74"/>
      <c r="CX29" s="74"/>
      <c r="CZ29" s="74"/>
      <c r="DA29" s="74"/>
      <c r="DC29" s="74"/>
      <c r="DD29" s="74"/>
      <c r="DF29" s="74"/>
    </row>
    <row r="30" spans="1:110">
      <c r="A30" s="76"/>
      <c r="B30" s="713"/>
      <c r="C30" s="216">
        <v>2011</v>
      </c>
      <c r="D30" s="234">
        <v>6388.84</v>
      </c>
      <c r="E30" s="218">
        <v>3016.09</v>
      </c>
      <c r="F30" s="214">
        <f t="shared" si="8"/>
        <v>9404.93</v>
      </c>
      <c r="G30" s="218">
        <v>7189.11</v>
      </c>
      <c r="H30" s="218">
        <v>7898.08</v>
      </c>
      <c r="I30" s="218">
        <v>7701.25</v>
      </c>
      <c r="J30" s="218">
        <v>7701.25</v>
      </c>
      <c r="K30" s="218">
        <v>6874</v>
      </c>
      <c r="L30" s="218">
        <v>6821.27</v>
      </c>
      <c r="M30" s="218">
        <v>5197.05</v>
      </c>
      <c r="N30" s="218">
        <v>6874</v>
      </c>
      <c r="O30" s="218">
        <v>6006</v>
      </c>
      <c r="P30" s="218">
        <v>5842.95</v>
      </c>
      <c r="Q30" s="218">
        <v>5065</v>
      </c>
      <c r="R30" s="218">
        <v>364.12</v>
      </c>
      <c r="S30" s="218">
        <v>134.15</v>
      </c>
      <c r="T30" s="218">
        <v>262.5</v>
      </c>
      <c r="U30" s="218">
        <v>331.14</v>
      </c>
      <c r="V30" s="218">
        <v>112.5</v>
      </c>
      <c r="W30" s="218">
        <v>230.05</v>
      </c>
      <c r="X30" s="218">
        <v>230.05</v>
      </c>
      <c r="Y30" s="218">
        <v>274.72000000000003</v>
      </c>
      <c r="Z30" s="153">
        <f t="shared" si="9"/>
        <v>69266.240000000005</v>
      </c>
      <c r="AA30" s="218">
        <v>300</v>
      </c>
      <c r="AB30" s="218">
        <v>215.76</v>
      </c>
      <c r="AC30" s="218">
        <v>8183.23</v>
      </c>
      <c r="AD30" s="218">
        <v>4992.7</v>
      </c>
      <c r="AE30" s="218">
        <v>1505.71</v>
      </c>
      <c r="AF30" s="218">
        <v>1505.71</v>
      </c>
      <c r="AG30" s="218">
        <v>1543.72</v>
      </c>
      <c r="AH30" s="218">
        <v>1505.71</v>
      </c>
      <c r="AI30" s="218">
        <v>4357.6099999999997</v>
      </c>
      <c r="AJ30" s="218">
        <v>2668.7</v>
      </c>
      <c r="AK30" s="235">
        <v>1585.3</v>
      </c>
      <c r="AL30" s="218">
        <v>980.78</v>
      </c>
      <c r="AM30" s="235">
        <v>103.74</v>
      </c>
      <c r="AN30" s="235">
        <v>2427.71</v>
      </c>
      <c r="AO30" s="235">
        <v>577.42999999999995</v>
      </c>
      <c r="AP30" s="235">
        <v>3359.68</v>
      </c>
      <c r="AQ30" s="235">
        <v>5215</v>
      </c>
      <c r="AR30" s="218">
        <v>704.62</v>
      </c>
      <c r="AS30" s="218">
        <v>13141.6</v>
      </c>
      <c r="AT30" s="218">
        <v>7300.44</v>
      </c>
      <c r="AU30" s="218">
        <v>5085</v>
      </c>
      <c r="AV30" s="218">
        <v>3757.08</v>
      </c>
      <c r="AW30" s="218">
        <v>3764.54</v>
      </c>
      <c r="AX30" s="218">
        <v>46.08</v>
      </c>
      <c r="AY30" s="218">
        <v>7013.02</v>
      </c>
      <c r="AZ30" s="218">
        <v>704.62</v>
      </c>
      <c r="BA30" s="218">
        <v>417.79</v>
      </c>
      <c r="BB30" s="243">
        <v>82</v>
      </c>
      <c r="BC30" s="218">
        <v>8071.43</v>
      </c>
      <c r="BD30" s="218">
        <v>8379.48</v>
      </c>
      <c r="BE30" s="218">
        <v>704.62</v>
      </c>
      <c r="BF30" s="218">
        <v>5513.11</v>
      </c>
      <c r="BG30" s="218">
        <v>2101.92</v>
      </c>
      <c r="BH30" s="213">
        <v>1290</v>
      </c>
      <c r="BI30" s="218">
        <v>938.07</v>
      </c>
      <c r="BJ30" s="214">
        <f t="shared" si="10"/>
        <v>110043.90999999999</v>
      </c>
      <c r="BK30" s="218">
        <v>6994.22</v>
      </c>
      <c r="BL30" s="235">
        <v>5730</v>
      </c>
      <c r="BM30" s="243">
        <v>4205.07</v>
      </c>
      <c r="BN30" s="218">
        <v>7252.31</v>
      </c>
      <c r="BO30" s="218">
        <v>257</v>
      </c>
      <c r="BP30" s="218">
        <v>5888.61</v>
      </c>
      <c r="BQ30" s="218">
        <v>1471</v>
      </c>
      <c r="BR30" s="153">
        <f t="shared" si="11"/>
        <v>30327.210000000003</v>
      </c>
      <c r="BS30" s="153">
        <f t="shared" si="12"/>
        <v>140371.12</v>
      </c>
      <c r="BT30" s="249">
        <f t="shared" si="13"/>
        <v>219042.29</v>
      </c>
      <c r="BV30" s="74"/>
      <c r="BW30" s="74"/>
      <c r="BY30" s="74"/>
      <c r="BZ30" s="74"/>
      <c r="CB30" s="74"/>
      <c r="CC30" s="74"/>
      <c r="CE30" s="74"/>
      <c r="CF30" s="74"/>
      <c r="CH30" s="74"/>
      <c r="CI30" s="74"/>
      <c r="CK30" s="74"/>
      <c r="CL30" s="74"/>
      <c r="CN30" s="74"/>
      <c r="CO30" s="74"/>
      <c r="CQ30" s="74"/>
      <c r="CR30" s="74"/>
      <c r="CT30" s="74"/>
      <c r="CU30" s="74"/>
      <c r="CW30" s="74"/>
      <c r="CX30" s="74"/>
      <c r="CZ30" s="74"/>
      <c r="DA30" s="74"/>
      <c r="DC30" s="74"/>
      <c r="DD30" s="74"/>
      <c r="DF30" s="74"/>
    </row>
    <row r="31" spans="1:110">
      <c r="A31" s="76"/>
      <c r="B31" s="713"/>
      <c r="C31" s="216">
        <v>2012</v>
      </c>
      <c r="D31" s="234">
        <v>6388.84</v>
      </c>
      <c r="E31" s="218">
        <v>3016.09</v>
      </c>
      <c r="F31" s="214">
        <f t="shared" si="8"/>
        <v>9404.93</v>
      </c>
      <c r="G31" s="218">
        <v>7189.11</v>
      </c>
      <c r="H31" s="218">
        <v>7898.08</v>
      </c>
      <c r="I31" s="218">
        <v>7701.25</v>
      </c>
      <c r="J31" s="218">
        <v>7701.25</v>
      </c>
      <c r="K31" s="218">
        <v>6874</v>
      </c>
      <c r="L31" s="218">
        <v>6821.27</v>
      </c>
      <c r="M31" s="218">
        <v>5197.05</v>
      </c>
      <c r="N31" s="218">
        <v>6874</v>
      </c>
      <c r="O31" s="218">
        <v>6006</v>
      </c>
      <c r="P31" s="218">
        <v>5842.95</v>
      </c>
      <c r="Q31" s="218">
        <v>5065</v>
      </c>
      <c r="R31" s="218">
        <v>364.12</v>
      </c>
      <c r="S31" s="218">
        <v>134.15</v>
      </c>
      <c r="T31" s="218">
        <v>262.5</v>
      </c>
      <c r="U31" s="218">
        <v>331.14</v>
      </c>
      <c r="V31" s="218">
        <v>112.5</v>
      </c>
      <c r="W31" s="218">
        <v>230.05</v>
      </c>
      <c r="X31" s="218">
        <v>230.05</v>
      </c>
      <c r="Y31" s="218">
        <v>274.72000000000003</v>
      </c>
      <c r="Z31" s="153">
        <f t="shared" si="9"/>
        <v>69266.240000000005</v>
      </c>
      <c r="AA31" s="218">
        <v>300</v>
      </c>
      <c r="AB31" s="218">
        <v>215.76</v>
      </c>
      <c r="AC31" s="218">
        <v>8183.23</v>
      </c>
      <c r="AD31" s="218">
        <v>4992.7</v>
      </c>
      <c r="AE31" s="218">
        <v>1505.71</v>
      </c>
      <c r="AF31" s="218">
        <v>1505.71</v>
      </c>
      <c r="AG31" s="218">
        <v>1543.72</v>
      </c>
      <c r="AH31" s="218">
        <v>1505.71</v>
      </c>
      <c r="AI31" s="218">
        <v>4357.6099999999997</v>
      </c>
      <c r="AJ31" s="218">
        <v>2668.7</v>
      </c>
      <c r="AK31" s="235">
        <v>1585.3</v>
      </c>
      <c r="AL31" s="218">
        <v>980.78</v>
      </c>
      <c r="AM31" s="235">
        <v>103.74</v>
      </c>
      <c r="AN31" s="235">
        <v>2427.71</v>
      </c>
      <c r="AO31" s="235">
        <v>577.42999999999995</v>
      </c>
      <c r="AP31" s="235">
        <v>3359.68</v>
      </c>
      <c r="AQ31" s="235">
        <v>5215</v>
      </c>
      <c r="AR31" s="218">
        <v>704.62</v>
      </c>
      <c r="AS31" s="218">
        <v>13141.6</v>
      </c>
      <c r="AT31" s="218">
        <v>7300.44</v>
      </c>
      <c r="AU31" s="218">
        <v>5085</v>
      </c>
      <c r="AV31" s="218">
        <v>3757.08</v>
      </c>
      <c r="AW31" s="218">
        <v>3764.54</v>
      </c>
      <c r="AX31" s="218">
        <v>46.08</v>
      </c>
      <c r="AY31" s="218">
        <v>7013.02</v>
      </c>
      <c r="AZ31" s="218">
        <v>704.62</v>
      </c>
      <c r="BA31" s="218">
        <v>417.79</v>
      </c>
      <c r="BB31" s="243">
        <v>82</v>
      </c>
      <c r="BC31" s="218">
        <v>8071.43</v>
      </c>
      <c r="BD31" s="218">
        <v>8379.48</v>
      </c>
      <c r="BE31" s="218">
        <v>704.62</v>
      </c>
      <c r="BF31" s="218">
        <v>5513.11</v>
      </c>
      <c r="BG31" s="218">
        <v>2101.92</v>
      </c>
      <c r="BH31" s="213">
        <v>1290</v>
      </c>
      <c r="BI31" s="218">
        <v>938.07</v>
      </c>
      <c r="BJ31" s="214">
        <f t="shared" si="10"/>
        <v>110043.90999999999</v>
      </c>
      <c r="BK31" s="218">
        <v>6994.22</v>
      </c>
      <c r="BL31" s="235">
        <v>5730</v>
      </c>
      <c r="BM31" s="243">
        <v>4205.07</v>
      </c>
      <c r="BN31" s="218">
        <v>7252.31</v>
      </c>
      <c r="BO31" s="218">
        <v>257</v>
      </c>
      <c r="BP31" s="218">
        <v>5888.61</v>
      </c>
      <c r="BQ31" s="218">
        <v>1471</v>
      </c>
      <c r="BR31" s="153">
        <f t="shared" si="11"/>
        <v>30327.210000000003</v>
      </c>
      <c r="BS31" s="153">
        <f t="shared" si="12"/>
        <v>140371.12</v>
      </c>
      <c r="BT31" s="249">
        <f t="shared" si="13"/>
        <v>219042.29</v>
      </c>
    </row>
    <row r="32" spans="1:110">
      <c r="A32" s="76"/>
      <c r="B32" s="713"/>
      <c r="C32" s="216">
        <v>2013</v>
      </c>
      <c r="D32" s="234">
        <v>6388.84</v>
      </c>
      <c r="E32" s="218">
        <v>3016.09</v>
      </c>
      <c r="F32" s="214">
        <f t="shared" si="8"/>
        <v>9404.93</v>
      </c>
      <c r="G32" s="218">
        <v>7189.11</v>
      </c>
      <c r="H32" s="218">
        <v>7898.08</v>
      </c>
      <c r="I32" s="218">
        <v>7701.25</v>
      </c>
      <c r="J32" s="218">
        <v>7701.25</v>
      </c>
      <c r="K32" s="218">
        <v>6874</v>
      </c>
      <c r="L32" s="218">
        <v>6821.27</v>
      </c>
      <c r="M32" s="218">
        <v>5197.05</v>
      </c>
      <c r="N32" s="218">
        <v>6874</v>
      </c>
      <c r="O32" s="218">
        <v>6006</v>
      </c>
      <c r="P32" s="218">
        <v>5842.95</v>
      </c>
      <c r="Q32" s="218">
        <v>5065</v>
      </c>
      <c r="R32" s="218">
        <v>364.12</v>
      </c>
      <c r="S32" s="218">
        <v>134.15</v>
      </c>
      <c r="T32" s="218">
        <v>262.5</v>
      </c>
      <c r="U32" s="218">
        <v>331.14</v>
      </c>
      <c r="V32" s="218">
        <v>112.5</v>
      </c>
      <c r="W32" s="218">
        <v>230.05</v>
      </c>
      <c r="X32" s="218">
        <v>230.05</v>
      </c>
      <c r="Y32" s="218">
        <v>274.72000000000003</v>
      </c>
      <c r="Z32" s="153">
        <f t="shared" si="9"/>
        <v>69266.240000000005</v>
      </c>
      <c r="AA32" s="218">
        <v>300</v>
      </c>
      <c r="AB32" s="218">
        <v>215.76</v>
      </c>
      <c r="AC32" s="218">
        <v>8183.23</v>
      </c>
      <c r="AD32" s="218">
        <v>4992.7</v>
      </c>
      <c r="AE32" s="218">
        <v>1505.71</v>
      </c>
      <c r="AF32" s="218">
        <v>1505.71</v>
      </c>
      <c r="AG32" s="218">
        <v>1543.72</v>
      </c>
      <c r="AH32" s="218">
        <v>1505.71</v>
      </c>
      <c r="AI32" s="218">
        <v>4357.6099999999997</v>
      </c>
      <c r="AJ32" s="218">
        <v>2668.7</v>
      </c>
      <c r="AK32" s="235">
        <v>1585.3</v>
      </c>
      <c r="AL32" s="218">
        <v>980.78</v>
      </c>
      <c r="AM32" s="235">
        <v>103.74</v>
      </c>
      <c r="AN32" s="235">
        <v>2427.71</v>
      </c>
      <c r="AO32" s="235">
        <v>577.42999999999995</v>
      </c>
      <c r="AP32" s="235">
        <v>3359.68</v>
      </c>
      <c r="AQ32" s="235">
        <v>5215</v>
      </c>
      <c r="AR32" s="218">
        <v>704.62</v>
      </c>
      <c r="AS32" s="218">
        <v>13141.6</v>
      </c>
      <c r="AT32" s="218">
        <v>7300.44</v>
      </c>
      <c r="AU32" s="218">
        <v>5085</v>
      </c>
      <c r="AV32" s="218">
        <v>3757.08</v>
      </c>
      <c r="AW32" s="218">
        <v>3764.54</v>
      </c>
      <c r="AX32" s="218">
        <v>46.08</v>
      </c>
      <c r="AY32" s="218">
        <v>7013.02</v>
      </c>
      <c r="AZ32" s="218">
        <v>704.62</v>
      </c>
      <c r="BA32" s="218">
        <v>417.79</v>
      </c>
      <c r="BB32" s="243">
        <v>82</v>
      </c>
      <c r="BC32" s="218">
        <v>8071.43</v>
      </c>
      <c r="BD32" s="218">
        <v>8379.48</v>
      </c>
      <c r="BE32" s="218">
        <v>704.62</v>
      </c>
      <c r="BF32" s="218">
        <v>5513.11</v>
      </c>
      <c r="BG32" s="218">
        <v>2101.92</v>
      </c>
      <c r="BH32" s="213">
        <v>1290</v>
      </c>
      <c r="BI32" s="218">
        <v>938.07</v>
      </c>
      <c r="BJ32" s="214">
        <f t="shared" si="10"/>
        <v>110043.90999999999</v>
      </c>
      <c r="BK32" s="218">
        <v>6994.22</v>
      </c>
      <c r="BL32" s="235">
        <v>5730</v>
      </c>
      <c r="BM32" s="243">
        <v>4205.07</v>
      </c>
      <c r="BN32" s="218">
        <v>7252.31</v>
      </c>
      <c r="BO32" s="218">
        <v>257</v>
      </c>
      <c r="BP32" s="218">
        <v>5888.61</v>
      </c>
      <c r="BQ32" s="218">
        <v>1471</v>
      </c>
      <c r="BR32" s="153">
        <f t="shared" si="11"/>
        <v>30327.210000000003</v>
      </c>
      <c r="BS32" s="153">
        <f t="shared" si="12"/>
        <v>140371.12</v>
      </c>
      <c r="BT32" s="249">
        <f t="shared" si="13"/>
        <v>219042.29</v>
      </c>
    </row>
    <row r="33" spans="1:72">
      <c r="A33" s="76"/>
      <c r="B33" s="713"/>
      <c r="C33" s="216">
        <v>2014</v>
      </c>
      <c r="D33" s="234">
        <v>6388.84</v>
      </c>
      <c r="E33" s="218">
        <v>3016.09</v>
      </c>
      <c r="F33" s="214">
        <f t="shared" si="8"/>
        <v>9404.93</v>
      </c>
      <c r="G33" s="218">
        <v>7189.11</v>
      </c>
      <c r="H33" s="218">
        <v>7898.08</v>
      </c>
      <c r="I33" s="218">
        <v>7701.25</v>
      </c>
      <c r="J33" s="218">
        <v>7701.25</v>
      </c>
      <c r="K33" s="218">
        <v>6874</v>
      </c>
      <c r="L33" s="218">
        <v>6821.27</v>
      </c>
      <c r="M33" s="218">
        <v>5197.05</v>
      </c>
      <c r="N33" s="218">
        <v>6874</v>
      </c>
      <c r="O33" s="218">
        <v>6006</v>
      </c>
      <c r="P33" s="218">
        <v>5842.95</v>
      </c>
      <c r="Q33" s="218">
        <v>5065</v>
      </c>
      <c r="R33" s="218">
        <v>364.12</v>
      </c>
      <c r="S33" s="218">
        <v>134.15</v>
      </c>
      <c r="T33" s="218">
        <v>262.5</v>
      </c>
      <c r="U33" s="218">
        <v>331.14</v>
      </c>
      <c r="V33" s="218">
        <v>112.5</v>
      </c>
      <c r="W33" s="218">
        <v>230.05</v>
      </c>
      <c r="X33" s="218">
        <v>230.05</v>
      </c>
      <c r="Y33" s="218">
        <v>274.72000000000003</v>
      </c>
      <c r="Z33" s="153">
        <f t="shared" si="9"/>
        <v>69266.240000000005</v>
      </c>
      <c r="AA33" s="218">
        <v>300</v>
      </c>
      <c r="AB33" s="218">
        <v>215.76</v>
      </c>
      <c r="AC33" s="218">
        <v>8183.23</v>
      </c>
      <c r="AD33" s="218">
        <v>4992.7</v>
      </c>
      <c r="AE33" s="218">
        <v>1505.71</v>
      </c>
      <c r="AF33" s="218">
        <v>1505.71</v>
      </c>
      <c r="AG33" s="218">
        <v>1543.72</v>
      </c>
      <c r="AH33" s="218">
        <v>1505.71</v>
      </c>
      <c r="AI33" s="218">
        <v>4357.6099999999997</v>
      </c>
      <c r="AJ33" s="218">
        <v>2668.7</v>
      </c>
      <c r="AK33" s="235">
        <v>1585.3</v>
      </c>
      <c r="AL33" s="218">
        <v>980.78</v>
      </c>
      <c r="AM33" s="235">
        <v>103.74</v>
      </c>
      <c r="AN33" s="235">
        <v>2427.71</v>
      </c>
      <c r="AO33" s="235">
        <v>577.42999999999995</v>
      </c>
      <c r="AP33" s="235">
        <v>3359.68</v>
      </c>
      <c r="AQ33" s="235">
        <v>5215</v>
      </c>
      <c r="AR33" s="218">
        <v>704.62</v>
      </c>
      <c r="AS33" s="218">
        <f>13141.6-656</f>
        <v>12485.6</v>
      </c>
      <c r="AT33" s="218">
        <v>7300.44</v>
      </c>
      <c r="AU33" s="218">
        <v>5085</v>
      </c>
      <c r="AV33" s="218">
        <v>3757.08</v>
      </c>
      <c r="AW33" s="218">
        <v>3764.54</v>
      </c>
      <c r="AX33" s="218">
        <v>46.08</v>
      </c>
      <c r="AY33" s="218">
        <v>7013.02</v>
      </c>
      <c r="AZ33" s="218">
        <v>704.62</v>
      </c>
      <c r="BA33" s="218">
        <v>417.79</v>
      </c>
      <c r="BB33" s="243">
        <v>82</v>
      </c>
      <c r="BC33" s="218">
        <v>8071.43</v>
      </c>
      <c r="BD33" s="218">
        <v>8379.48</v>
      </c>
      <c r="BE33" s="218">
        <v>704.62</v>
      </c>
      <c r="BF33" s="218">
        <v>5513.11</v>
      </c>
      <c r="BG33" s="218">
        <v>2101.92</v>
      </c>
      <c r="BH33" s="213">
        <v>1290</v>
      </c>
      <c r="BI33" s="218">
        <v>938.07</v>
      </c>
      <c r="BJ33" s="214">
        <f t="shared" si="10"/>
        <v>109387.90999999999</v>
      </c>
      <c r="BK33" s="218">
        <v>6994.22</v>
      </c>
      <c r="BL33" s="235">
        <v>5730</v>
      </c>
      <c r="BM33" s="243">
        <v>4205.07</v>
      </c>
      <c r="BN33" s="218">
        <v>7252.31</v>
      </c>
      <c r="BO33" s="218">
        <v>257</v>
      </c>
      <c r="BP33" s="218">
        <v>5888.61</v>
      </c>
      <c r="BQ33" s="218">
        <v>1471</v>
      </c>
      <c r="BR33" s="153">
        <f t="shared" si="11"/>
        <v>30327.210000000003</v>
      </c>
      <c r="BS33" s="153">
        <f t="shared" si="12"/>
        <v>139715.12</v>
      </c>
      <c r="BT33" s="249">
        <f t="shared" si="13"/>
        <v>218386.29</v>
      </c>
    </row>
    <row r="34" spans="1:72">
      <c r="A34" s="76"/>
      <c r="B34" s="713"/>
      <c r="C34" s="216">
        <v>2015</v>
      </c>
      <c r="D34" s="234">
        <v>6388.84</v>
      </c>
      <c r="E34" s="218">
        <v>3016.09</v>
      </c>
      <c r="F34" s="214">
        <f t="shared" si="8"/>
        <v>9404.93</v>
      </c>
      <c r="G34" s="218">
        <v>7189.11</v>
      </c>
      <c r="H34" s="218">
        <v>7898.08</v>
      </c>
      <c r="I34" s="218">
        <v>7701.25</v>
      </c>
      <c r="J34" s="218">
        <v>7701.25</v>
      </c>
      <c r="K34" s="218">
        <v>6874</v>
      </c>
      <c r="L34" s="218">
        <v>6821.27</v>
      </c>
      <c r="M34" s="218">
        <v>5197.05</v>
      </c>
      <c r="N34" s="218">
        <v>6874</v>
      </c>
      <c r="O34" s="218">
        <v>6006</v>
      </c>
      <c r="P34" s="218">
        <v>5842.95</v>
      </c>
      <c r="Q34" s="218">
        <v>5065</v>
      </c>
      <c r="R34" s="218">
        <v>364.12</v>
      </c>
      <c r="S34" s="218">
        <v>134.15</v>
      </c>
      <c r="T34" s="218">
        <v>262.5</v>
      </c>
      <c r="U34" s="218">
        <v>331.14</v>
      </c>
      <c r="V34" s="218">
        <v>112.5</v>
      </c>
      <c r="W34" s="218">
        <v>230.05</v>
      </c>
      <c r="X34" s="218">
        <v>230.05</v>
      </c>
      <c r="Y34" s="218">
        <v>274.72000000000003</v>
      </c>
      <c r="Z34" s="153">
        <f t="shared" si="9"/>
        <v>69266.240000000005</v>
      </c>
      <c r="AA34" s="218">
        <v>300</v>
      </c>
      <c r="AB34" s="218">
        <v>215.76</v>
      </c>
      <c r="AC34" s="218">
        <v>8183.23</v>
      </c>
      <c r="AD34" s="218">
        <v>4992.7</v>
      </c>
      <c r="AE34" s="218">
        <v>1505.71</v>
      </c>
      <c r="AF34" s="218">
        <v>1505.71</v>
      </c>
      <c r="AG34" s="218">
        <v>1543.72</v>
      </c>
      <c r="AH34" s="218">
        <v>1505.71</v>
      </c>
      <c r="AI34" s="218">
        <v>4357.6099999999997</v>
      </c>
      <c r="AJ34" s="218">
        <v>2668.7</v>
      </c>
      <c r="AK34" s="235">
        <v>1585.3</v>
      </c>
      <c r="AL34" s="218">
        <v>980.78</v>
      </c>
      <c r="AM34" s="235">
        <v>103.74</v>
      </c>
      <c r="AN34" s="235">
        <v>2427.71</v>
      </c>
      <c r="AO34" s="235">
        <v>577.42999999999995</v>
      </c>
      <c r="AP34" s="235">
        <v>3359.68</v>
      </c>
      <c r="AQ34" s="235">
        <v>5215</v>
      </c>
      <c r="AR34" s="218">
        <v>704.62</v>
      </c>
      <c r="AS34" s="218">
        <f>13141.6-656-553</f>
        <v>11932.6</v>
      </c>
      <c r="AT34" s="218">
        <v>7300.44</v>
      </c>
      <c r="AU34" s="218">
        <v>5085</v>
      </c>
      <c r="AV34" s="218">
        <v>3757.08</v>
      </c>
      <c r="AW34" s="218">
        <v>3764.54</v>
      </c>
      <c r="AX34" s="218">
        <v>46.08</v>
      </c>
      <c r="AY34" s="218">
        <v>7013.02</v>
      </c>
      <c r="AZ34" s="218">
        <v>704.62</v>
      </c>
      <c r="BA34" s="218">
        <v>417.79</v>
      </c>
      <c r="BB34" s="243">
        <v>82</v>
      </c>
      <c r="BC34" s="218">
        <v>8071.43</v>
      </c>
      <c r="BD34" s="218">
        <v>8379.48</v>
      </c>
      <c r="BE34" s="218">
        <v>704.62</v>
      </c>
      <c r="BF34" s="218">
        <v>5513.11</v>
      </c>
      <c r="BG34" s="218">
        <v>2101.92</v>
      </c>
      <c r="BH34" s="213">
        <v>1290</v>
      </c>
      <c r="BI34" s="218">
        <v>938.07</v>
      </c>
      <c r="BJ34" s="214">
        <f t="shared" si="10"/>
        <v>108834.90999999999</v>
      </c>
      <c r="BK34" s="218">
        <v>6994.22</v>
      </c>
      <c r="BL34" s="235">
        <v>5730</v>
      </c>
      <c r="BM34" s="243">
        <v>4205.07</v>
      </c>
      <c r="BN34" s="218">
        <v>7252.31</v>
      </c>
      <c r="BO34" s="218">
        <v>257</v>
      </c>
      <c r="BP34" s="218">
        <v>5888.61</v>
      </c>
      <c r="BQ34" s="218">
        <v>1471</v>
      </c>
      <c r="BR34" s="153">
        <f t="shared" si="11"/>
        <v>30327.210000000003</v>
      </c>
      <c r="BS34" s="153">
        <f t="shared" si="12"/>
        <v>139162.12</v>
      </c>
      <c r="BT34" s="249">
        <f t="shared" si="13"/>
        <v>217833.29</v>
      </c>
    </row>
    <row r="35" spans="1:72">
      <c r="A35" s="76"/>
      <c r="B35" s="713"/>
      <c r="C35" s="216">
        <v>2016</v>
      </c>
      <c r="D35" s="234">
        <v>6388.84</v>
      </c>
      <c r="E35" s="218">
        <v>3016.09</v>
      </c>
      <c r="F35" s="214">
        <f t="shared" si="8"/>
        <v>9404.93</v>
      </c>
      <c r="G35" s="218">
        <v>7189.11</v>
      </c>
      <c r="H35" s="218">
        <v>7898.08</v>
      </c>
      <c r="I35" s="218">
        <v>7701.25</v>
      </c>
      <c r="J35" s="218">
        <v>7701.25</v>
      </c>
      <c r="K35" s="218">
        <v>6874</v>
      </c>
      <c r="L35" s="218">
        <v>6821.27</v>
      </c>
      <c r="M35" s="218">
        <v>5197.05</v>
      </c>
      <c r="N35" s="218">
        <v>6874</v>
      </c>
      <c r="O35" s="218">
        <v>6006</v>
      </c>
      <c r="P35" s="218">
        <v>5842.95</v>
      </c>
      <c r="Q35" s="218">
        <v>5065</v>
      </c>
      <c r="R35" s="218">
        <v>364.12</v>
      </c>
      <c r="S35" s="218">
        <v>134.15</v>
      </c>
      <c r="T35" s="218">
        <v>262.5</v>
      </c>
      <c r="U35" s="218">
        <v>331.14</v>
      </c>
      <c r="V35" s="218">
        <v>112.5</v>
      </c>
      <c r="W35" s="218">
        <v>230.05</v>
      </c>
      <c r="X35" s="218">
        <v>230.05</v>
      </c>
      <c r="Y35" s="218">
        <v>274.72000000000003</v>
      </c>
      <c r="Z35" s="153">
        <f t="shared" si="9"/>
        <v>69266.240000000005</v>
      </c>
      <c r="AA35" s="218">
        <v>300</v>
      </c>
      <c r="AB35" s="218">
        <v>215.76</v>
      </c>
      <c r="AC35" s="218">
        <v>8183.23</v>
      </c>
      <c r="AD35" s="218">
        <v>4992.7</v>
      </c>
      <c r="AE35" s="218">
        <v>1505.71</v>
      </c>
      <c r="AF35" s="218">
        <v>1505.71</v>
      </c>
      <c r="AG35" s="218">
        <v>1543.72</v>
      </c>
      <c r="AH35" s="218">
        <v>1505.71</v>
      </c>
      <c r="AI35" s="218">
        <v>4357.6099999999997</v>
      </c>
      <c r="AJ35" s="218">
        <v>2668.7</v>
      </c>
      <c r="AK35" s="235">
        <v>1585.3</v>
      </c>
      <c r="AL35" s="218">
        <v>980.78</v>
      </c>
      <c r="AM35" s="235">
        <v>103.74</v>
      </c>
      <c r="AN35" s="235">
        <v>2427.71</v>
      </c>
      <c r="AO35" s="235">
        <v>577.42999999999995</v>
      </c>
      <c r="AP35" s="235">
        <v>3359.68</v>
      </c>
      <c r="AQ35" s="235">
        <v>5215</v>
      </c>
      <c r="AR35" s="218">
        <v>704.62</v>
      </c>
      <c r="AS35" s="218">
        <f>13141.6-656-553+4712</f>
        <v>16644.599999999999</v>
      </c>
      <c r="AT35" s="218">
        <v>7300.44</v>
      </c>
      <c r="AU35" s="218">
        <v>5085</v>
      </c>
      <c r="AV35" s="218">
        <v>3757.08</v>
      </c>
      <c r="AW35" s="218">
        <v>3764.54</v>
      </c>
      <c r="AX35" s="218">
        <v>46.08</v>
      </c>
      <c r="AY35" s="218">
        <v>7013.02</v>
      </c>
      <c r="AZ35" s="218">
        <v>704.62</v>
      </c>
      <c r="BA35" s="218">
        <v>417.79</v>
      </c>
      <c r="BB35" s="243">
        <v>82</v>
      </c>
      <c r="BC35" s="218">
        <v>8071.43</v>
      </c>
      <c r="BD35" s="218">
        <v>8379.48</v>
      </c>
      <c r="BE35" s="218">
        <v>704.62</v>
      </c>
      <c r="BF35" s="218">
        <v>5513.11</v>
      </c>
      <c r="BG35" s="218">
        <v>2101.92</v>
      </c>
      <c r="BH35" s="213">
        <v>1290</v>
      </c>
      <c r="BI35" s="218">
        <v>938.07</v>
      </c>
      <c r="BJ35" s="214">
        <f t="shared" si="10"/>
        <v>113546.90999999999</v>
      </c>
      <c r="BK35" s="218">
        <v>6994.22</v>
      </c>
      <c r="BL35" s="235">
        <v>5730</v>
      </c>
      <c r="BM35" s="243">
        <v>4205.07</v>
      </c>
      <c r="BN35" s="218">
        <v>7252.31</v>
      </c>
      <c r="BO35" s="218">
        <v>257</v>
      </c>
      <c r="BP35" s="218">
        <v>5888.61</v>
      </c>
      <c r="BQ35" s="218">
        <v>1471</v>
      </c>
      <c r="BR35" s="153">
        <f t="shared" si="11"/>
        <v>30327.210000000003</v>
      </c>
      <c r="BS35" s="153">
        <f t="shared" si="12"/>
        <v>143874.12</v>
      </c>
      <c r="BT35" s="249">
        <f t="shared" si="13"/>
        <v>222545.29</v>
      </c>
    </row>
    <row r="36" spans="1:72">
      <c r="A36" s="76"/>
      <c r="B36" s="713"/>
      <c r="C36" s="216">
        <v>2017</v>
      </c>
      <c r="D36" s="234">
        <v>6388.84</v>
      </c>
      <c r="E36" s="218">
        <v>3016.09</v>
      </c>
      <c r="F36" s="214">
        <f t="shared" si="8"/>
        <v>9404.93</v>
      </c>
      <c r="G36" s="218">
        <v>7189.11</v>
      </c>
      <c r="H36" s="218">
        <v>7898.08</v>
      </c>
      <c r="I36" s="218">
        <v>7701.25</v>
      </c>
      <c r="J36" s="218">
        <v>7701.25</v>
      </c>
      <c r="K36" s="218">
        <v>6874</v>
      </c>
      <c r="L36" s="218">
        <v>6821.27</v>
      </c>
      <c r="M36" s="218">
        <v>5197.05</v>
      </c>
      <c r="N36" s="218">
        <v>6874</v>
      </c>
      <c r="O36" s="218">
        <v>6006</v>
      </c>
      <c r="P36" s="218">
        <v>5842.95</v>
      </c>
      <c r="Q36" s="218">
        <v>5065</v>
      </c>
      <c r="R36" s="218">
        <v>364.12</v>
      </c>
      <c r="S36" s="218">
        <v>134.15</v>
      </c>
      <c r="T36" s="218">
        <v>262.5</v>
      </c>
      <c r="U36" s="218">
        <v>331.14</v>
      </c>
      <c r="V36" s="218">
        <v>112.5</v>
      </c>
      <c r="W36" s="218">
        <v>230.05</v>
      </c>
      <c r="X36" s="218">
        <v>230.05</v>
      </c>
      <c r="Y36" s="218">
        <v>274.72000000000003</v>
      </c>
      <c r="Z36" s="153">
        <f t="shared" si="9"/>
        <v>69266.240000000005</v>
      </c>
      <c r="AA36" s="218">
        <v>300</v>
      </c>
      <c r="AB36" s="218">
        <v>215.76</v>
      </c>
      <c r="AC36" s="218">
        <v>8183.23</v>
      </c>
      <c r="AD36" s="218">
        <v>4992.7</v>
      </c>
      <c r="AE36" s="218">
        <v>1505.71</v>
      </c>
      <c r="AF36" s="218">
        <v>1505.71</v>
      </c>
      <c r="AG36" s="218">
        <v>1543.72</v>
      </c>
      <c r="AH36" s="218">
        <v>1505.71</v>
      </c>
      <c r="AI36" s="218">
        <v>4357.6099999999997</v>
      </c>
      <c r="AJ36" s="218">
        <v>2668.7</v>
      </c>
      <c r="AK36" s="235">
        <v>1585.3</v>
      </c>
      <c r="AL36" s="218">
        <v>980.78</v>
      </c>
      <c r="AM36" s="235">
        <v>103.74</v>
      </c>
      <c r="AN36" s="235">
        <v>2427.71</v>
      </c>
      <c r="AO36" s="235">
        <v>577.42999999999995</v>
      </c>
      <c r="AP36" s="235">
        <v>3359.68</v>
      </c>
      <c r="AQ36" s="235">
        <v>5215</v>
      </c>
      <c r="AR36" s="218">
        <v>704.62</v>
      </c>
      <c r="AS36" s="218">
        <f>13141.6-656-553+4712+3358</f>
        <v>20002.599999999999</v>
      </c>
      <c r="AT36" s="218">
        <v>7300.44</v>
      </c>
      <c r="AU36" s="218">
        <v>5085</v>
      </c>
      <c r="AV36" s="218">
        <v>3757.08</v>
      </c>
      <c r="AW36" s="218">
        <v>3764.54</v>
      </c>
      <c r="AX36" s="218">
        <v>46.08</v>
      </c>
      <c r="AY36" s="218">
        <v>7013.02</v>
      </c>
      <c r="AZ36" s="218">
        <v>704.62</v>
      </c>
      <c r="BA36" s="218">
        <v>417.79</v>
      </c>
      <c r="BB36" s="243">
        <v>82</v>
      </c>
      <c r="BC36" s="218">
        <v>8071.43</v>
      </c>
      <c r="BD36" s="218">
        <v>8379.48</v>
      </c>
      <c r="BE36" s="218">
        <v>704.62</v>
      </c>
      <c r="BF36" s="218">
        <v>5513.11</v>
      </c>
      <c r="BG36" s="218">
        <v>2101.92</v>
      </c>
      <c r="BH36" s="213">
        <v>1290</v>
      </c>
      <c r="BI36" s="218">
        <v>938.07</v>
      </c>
      <c r="BJ36" s="214">
        <f t="shared" si="10"/>
        <v>116904.90999999999</v>
      </c>
      <c r="BK36" s="218">
        <v>6994.22</v>
      </c>
      <c r="BL36" s="235">
        <v>5730</v>
      </c>
      <c r="BM36" s="243">
        <v>4205.07</v>
      </c>
      <c r="BN36" s="218">
        <v>7252.31</v>
      </c>
      <c r="BO36" s="218">
        <v>257</v>
      </c>
      <c r="BP36" s="218">
        <v>5888.61</v>
      </c>
      <c r="BQ36" s="218">
        <v>1471</v>
      </c>
      <c r="BR36" s="153">
        <f t="shared" si="11"/>
        <v>30327.210000000003</v>
      </c>
      <c r="BS36" s="153">
        <f t="shared" si="12"/>
        <v>147232.12</v>
      </c>
      <c r="BT36" s="249">
        <f t="shared" si="13"/>
        <v>225903.29</v>
      </c>
    </row>
    <row r="37" spans="1:72">
      <c r="A37" s="76"/>
      <c r="B37" s="713"/>
      <c r="C37" s="216">
        <v>2018</v>
      </c>
      <c r="D37" s="234">
        <v>6388.84</v>
      </c>
      <c r="E37" s="218">
        <v>3016.09</v>
      </c>
      <c r="F37" s="214">
        <f t="shared" si="8"/>
        <v>9404.93</v>
      </c>
      <c r="G37" s="218">
        <v>7189.11</v>
      </c>
      <c r="H37" s="218">
        <v>7898.08</v>
      </c>
      <c r="I37" s="218">
        <v>7701.25</v>
      </c>
      <c r="J37" s="218">
        <v>7701.25</v>
      </c>
      <c r="K37" s="218">
        <v>6874</v>
      </c>
      <c r="L37" s="218">
        <v>6821.27</v>
      </c>
      <c r="M37" s="218">
        <v>5197.05</v>
      </c>
      <c r="N37" s="218">
        <v>6874</v>
      </c>
      <c r="O37" s="218">
        <v>6006</v>
      </c>
      <c r="P37" s="218">
        <v>5842.95</v>
      </c>
      <c r="Q37" s="218">
        <v>5065</v>
      </c>
      <c r="R37" s="218">
        <v>364.12</v>
      </c>
      <c r="S37" s="218">
        <v>134.15</v>
      </c>
      <c r="T37" s="218">
        <v>262.5</v>
      </c>
      <c r="U37" s="218">
        <v>331.14</v>
      </c>
      <c r="V37" s="218">
        <v>112.5</v>
      </c>
      <c r="W37" s="218">
        <v>230.05</v>
      </c>
      <c r="X37" s="218">
        <v>230.05</v>
      </c>
      <c r="Y37" s="218">
        <v>274.72000000000003</v>
      </c>
      <c r="Z37" s="153">
        <f t="shared" si="9"/>
        <v>69266.240000000005</v>
      </c>
      <c r="AA37" s="218">
        <v>300</v>
      </c>
      <c r="AB37" s="218">
        <v>215.76</v>
      </c>
      <c r="AC37" s="218">
        <v>8183.23</v>
      </c>
      <c r="AD37" s="218">
        <v>4992.7</v>
      </c>
      <c r="AE37" s="218">
        <v>0</v>
      </c>
      <c r="AF37" s="218">
        <v>0</v>
      </c>
      <c r="AG37" s="218">
        <v>0</v>
      </c>
      <c r="AH37" s="218">
        <v>0</v>
      </c>
      <c r="AI37" s="218">
        <v>4357.6099999999997</v>
      </c>
      <c r="AJ37" s="218">
        <v>2668.7</v>
      </c>
      <c r="AK37" s="235">
        <v>1585.3</v>
      </c>
      <c r="AL37" s="218">
        <v>980.78</v>
      </c>
      <c r="AM37" s="235">
        <v>103.74</v>
      </c>
      <c r="AN37" s="235">
        <v>2427.71</v>
      </c>
      <c r="AO37" s="235">
        <v>577.42999999999995</v>
      </c>
      <c r="AP37" s="235">
        <v>3359.68</v>
      </c>
      <c r="AQ37" s="235">
        <v>5215</v>
      </c>
      <c r="AR37" s="218">
        <v>704.62</v>
      </c>
      <c r="AS37" s="218">
        <f>13141.6-656-553+4712+3358</f>
        <v>20002.599999999999</v>
      </c>
      <c r="AT37" s="218">
        <v>7300.44</v>
      </c>
      <c r="AU37" s="218">
        <v>5085</v>
      </c>
      <c r="AV37" s="218">
        <v>3757.08</v>
      </c>
      <c r="AW37" s="218">
        <v>3764.54</v>
      </c>
      <c r="AX37" s="218">
        <v>46.08</v>
      </c>
      <c r="AY37" s="218">
        <v>7013.02</v>
      </c>
      <c r="AZ37" s="218">
        <v>704.62</v>
      </c>
      <c r="BA37" s="218">
        <v>417.79</v>
      </c>
      <c r="BB37" s="243">
        <v>82</v>
      </c>
      <c r="BC37" s="218">
        <v>8071.43</v>
      </c>
      <c r="BD37" s="218">
        <v>8379.48</v>
      </c>
      <c r="BE37" s="218">
        <v>704.62</v>
      </c>
      <c r="BF37" s="218">
        <v>5513.11</v>
      </c>
      <c r="BG37" s="218">
        <v>2101.92</v>
      </c>
      <c r="BH37" s="213">
        <v>1290</v>
      </c>
      <c r="BI37" s="218">
        <v>938.07</v>
      </c>
      <c r="BJ37" s="214">
        <f t="shared" si="10"/>
        <v>110844.05999999998</v>
      </c>
      <c r="BK37" s="218">
        <v>6994.22</v>
      </c>
      <c r="BL37" s="235">
        <v>5730</v>
      </c>
      <c r="BM37" s="243">
        <v>4205.07</v>
      </c>
      <c r="BN37" s="218">
        <v>7252.31</v>
      </c>
      <c r="BO37" s="218">
        <v>257</v>
      </c>
      <c r="BP37" s="218">
        <v>5888.61</v>
      </c>
      <c r="BQ37" s="218">
        <v>1471</v>
      </c>
      <c r="BR37" s="153">
        <f t="shared" si="11"/>
        <v>30327.210000000003</v>
      </c>
      <c r="BS37" s="153">
        <f t="shared" si="12"/>
        <v>141171.26999999999</v>
      </c>
      <c r="BT37" s="249">
        <f t="shared" si="13"/>
        <v>219842.44</v>
      </c>
    </row>
    <row r="38" spans="1:72">
      <c r="A38" s="76"/>
      <c r="B38" s="713"/>
      <c r="C38" s="216">
        <v>2019</v>
      </c>
      <c r="D38" s="234">
        <v>6388.84</v>
      </c>
      <c r="E38" s="218">
        <v>3016.09</v>
      </c>
      <c r="F38" s="214">
        <f t="shared" si="8"/>
        <v>9404.93</v>
      </c>
      <c r="G38" s="218">
        <v>7189.11</v>
      </c>
      <c r="H38" s="218">
        <v>7898.08</v>
      </c>
      <c r="I38" s="218">
        <v>7701.25</v>
      </c>
      <c r="J38" s="218">
        <v>7701.25</v>
      </c>
      <c r="K38" s="218">
        <v>6874</v>
      </c>
      <c r="L38" s="218">
        <v>6821.27</v>
      </c>
      <c r="M38" s="218">
        <v>5197.05</v>
      </c>
      <c r="N38" s="218">
        <v>6874</v>
      </c>
      <c r="O38" s="218">
        <v>6006</v>
      </c>
      <c r="P38" s="218">
        <v>5842.95</v>
      </c>
      <c r="Q38" s="218">
        <v>5065</v>
      </c>
      <c r="R38" s="218">
        <v>364.12</v>
      </c>
      <c r="S38" s="218">
        <v>134.15</v>
      </c>
      <c r="T38" s="218">
        <v>262.5</v>
      </c>
      <c r="U38" s="218">
        <v>331.14</v>
      </c>
      <c r="V38" s="218">
        <v>112.5</v>
      </c>
      <c r="W38" s="218">
        <v>230.05</v>
      </c>
      <c r="X38" s="218">
        <v>230.05</v>
      </c>
      <c r="Y38" s="218">
        <v>274.72000000000003</v>
      </c>
      <c r="Z38" s="153">
        <f t="shared" si="9"/>
        <v>69266.240000000005</v>
      </c>
      <c r="AA38" s="218">
        <v>300</v>
      </c>
      <c r="AB38" s="218">
        <v>215.76</v>
      </c>
      <c r="AC38" s="218">
        <v>8183.23</v>
      </c>
      <c r="AD38" s="218">
        <v>4992.7</v>
      </c>
      <c r="AE38" s="218">
        <v>0</v>
      </c>
      <c r="AF38" s="218">
        <v>0</v>
      </c>
      <c r="AG38" s="218">
        <v>0</v>
      </c>
      <c r="AH38" s="218">
        <v>0</v>
      </c>
      <c r="AI38" s="218">
        <v>4357.6099999999997</v>
      </c>
      <c r="AJ38" s="218">
        <v>2668.7</v>
      </c>
      <c r="AK38" s="235">
        <v>1585.3</v>
      </c>
      <c r="AL38" s="218">
        <v>980.78</v>
      </c>
      <c r="AM38" s="235">
        <v>103.74</v>
      </c>
      <c r="AN38" s="235">
        <v>2427.71</v>
      </c>
      <c r="AO38" s="235">
        <v>577.42999999999995</v>
      </c>
      <c r="AP38" s="235">
        <v>3359.68</v>
      </c>
      <c r="AQ38" s="235">
        <v>5215</v>
      </c>
      <c r="AR38" s="218">
        <v>704.62</v>
      </c>
      <c r="AS38" s="218">
        <f>13141.6-656-553+4712+3358</f>
        <v>20002.599999999999</v>
      </c>
      <c r="AT38" s="218">
        <v>7300.44</v>
      </c>
      <c r="AU38" s="218">
        <v>5085</v>
      </c>
      <c r="AV38" s="218">
        <v>3757.08</v>
      </c>
      <c r="AW38" s="218">
        <v>3764.54</v>
      </c>
      <c r="AX38" s="218">
        <v>46.08</v>
      </c>
      <c r="AY38" s="218">
        <v>7013.02</v>
      </c>
      <c r="AZ38" s="218">
        <v>704.62</v>
      </c>
      <c r="BA38" s="218">
        <v>417.79</v>
      </c>
      <c r="BB38" s="243">
        <v>82</v>
      </c>
      <c r="BC38" s="218">
        <v>8071.43</v>
      </c>
      <c r="BD38" s="218">
        <v>8379.48</v>
      </c>
      <c r="BE38" s="218">
        <v>704.62</v>
      </c>
      <c r="BF38" s="218">
        <v>5513.11</v>
      </c>
      <c r="BG38" s="218">
        <v>2101.92</v>
      </c>
      <c r="BH38" s="213">
        <v>1290</v>
      </c>
      <c r="BI38" s="218">
        <v>938.07</v>
      </c>
      <c r="BJ38" s="214">
        <f t="shared" si="10"/>
        <v>110844.05999999998</v>
      </c>
      <c r="BK38" s="218">
        <v>6994.22</v>
      </c>
      <c r="BL38" s="235">
        <v>5730</v>
      </c>
      <c r="BM38" s="243">
        <v>4205.07</v>
      </c>
      <c r="BN38" s="218">
        <v>7252.31</v>
      </c>
      <c r="BO38" s="218">
        <v>257</v>
      </c>
      <c r="BP38" s="218">
        <v>5888.61</v>
      </c>
      <c r="BQ38" s="218">
        <v>1471</v>
      </c>
      <c r="BR38" s="153">
        <f t="shared" si="11"/>
        <v>30327.210000000003</v>
      </c>
      <c r="BS38" s="153">
        <f t="shared" si="12"/>
        <v>141171.26999999999</v>
      </c>
      <c r="BT38" s="249">
        <f t="shared" si="13"/>
        <v>219842.44</v>
      </c>
    </row>
    <row r="39" spans="1:72" ht="13.8" thickBot="1">
      <c r="A39" s="76"/>
      <c r="B39" s="714"/>
      <c r="C39" s="274">
        <v>2020</v>
      </c>
      <c r="D39" s="275">
        <v>6388.84</v>
      </c>
      <c r="E39" s="232">
        <v>3016.09</v>
      </c>
      <c r="F39" s="219">
        <f t="shared" si="8"/>
        <v>9404.93</v>
      </c>
      <c r="G39" s="232">
        <v>7189.11</v>
      </c>
      <c r="H39" s="232">
        <v>7898.08</v>
      </c>
      <c r="I39" s="232">
        <v>7701.25</v>
      </c>
      <c r="J39" s="232">
        <v>7701.25</v>
      </c>
      <c r="K39" s="232">
        <v>6874</v>
      </c>
      <c r="L39" s="232">
        <v>6821.27</v>
      </c>
      <c r="M39" s="232">
        <v>5197.05</v>
      </c>
      <c r="N39" s="232">
        <v>6874</v>
      </c>
      <c r="O39" s="232">
        <v>6006</v>
      </c>
      <c r="P39" s="232">
        <v>5842.95</v>
      </c>
      <c r="Q39" s="232">
        <v>5065</v>
      </c>
      <c r="R39" s="232">
        <v>364.12</v>
      </c>
      <c r="S39" s="232">
        <v>134.15</v>
      </c>
      <c r="T39" s="232">
        <v>262.5</v>
      </c>
      <c r="U39" s="232">
        <v>331.14</v>
      </c>
      <c r="V39" s="232">
        <v>112.5</v>
      </c>
      <c r="W39" s="232">
        <v>230.05</v>
      </c>
      <c r="X39" s="232">
        <v>230.05</v>
      </c>
      <c r="Y39" s="232">
        <v>274.72000000000003</v>
      </c>
      <c r="Z39" s="227">
        <f t="shared" si="9"/>
        <v>69266.240000000005</v>
      </c>
      <c r="AA39" s="232">
        <v>300</v>
      </c>
      <c r="AB39" s="232">
        <v>215.76</v>
      </c>
      <c r="AC39" s="232">
        <v>8183.23</v>
      </c>
      <c r="AD39" s="232">
        <v>4992.7</v>
      </c>
      <c r="AE39" s="232">
        <v>0</v>
      </c>
      <c r="AF39" s="232">
        <v>0</v>
      </c>
      <c r="AG39" s="232">
        <v>0</v>
      </c>
      <c r="AH39" s="232">
        <v>0</v>
      </c>
      <c r="AI39" s="232">
        <v>4357.6099999999997</v>
      </c>
      <c r="AJ39" s="232">
        <v>2668.7</v>
      </c>
      <c r="AK39" s="237">
        <v>1585.3</v>
      </c>
      <c r="AL39" s="232">
        <v>980.78</v>
      </c>
      <c r="AM39" s="237">
        <v>103.74</v>
      </c>
      <c r="AN39" s="237">
        <v>2427.71</v>
      </c>
      <c r="AO39" s="237">
        <v>577.42999999999995</v>
      </c>
      <c r="AP39" s="237">
        <v>3359.68</v>
      </c>
      <c r="AQ39" s="237">
        <v>5215</v>
      </c>
      <c r="AR39" s="232">
        <v>704.62</v>
      </c>
      <c r="AS39" s="232">
        <f>13141.6-656-553+4712+3358</f>
        <v>20002.599999999999</v>
      </c>
      <c r="AT39" s="232">
        <v>7300.44</v>
      </c>
      <c r="AU39" s="232">
        <v>5085</v>
      </c>
      <c r="AV39" s="232">
        <v>3757.08</v>
      </c>
      <c r="AW39" s="232">
        <v>3764.54</v>
      </c>
      <c r="AX39" s="232">
        <v>46.08</v>
      </c>
      <c r="AY39" s="232">
        <v>7013.02</v>
      </c>
      <c r="AZ39" s="232">
        <v>704.62</v>
      </c>
      <c r="BA39" s="232">
        <v>417.79</v>
      </c>
      <c r="BB39" s="244">
        <v>82</v>
      </c>
      <c r="BC39" s="232">
        <v>8071.43</v>
      </c>
      <c r="BD39" s="232">
        <v>8379.48</v>
      </c>
      <c r="BE39" s="232">
        <v>704.62</v>
      </c>
      <c r="BF39" s="232">
        <v>5513.11</v>
      </c>
      <c r="BG39" s="232">
        <v>2101.92</v>
      </c>
      <c r="BH39" s="231">
        <v>1290</v>
      </c>
      <c r="BI39" s="232">
        <v>938.07</v>
      </c>
      <c r="BJ39" s="219">
        <f t="shared" si="10"/>
        <v>110844.05999999998</v>
      </c>
      <c r="BK39" s="232">
        <v>6994.22</v>
      </c>
      <c r="BL39" s="237">
        <v>5730</v>
      </c>
      <c r="BM39" s="244">
        <v>4205.07</v>
      </c>
      <c r="BN39" s="232">
        <v>7252.31</v>
      </c>
      <c r="BO39" s="232">
        <v>257</v>
      </c>
      <c r="BP39" s="232">
        <v>5888.61</v>
      </c>
      <c r="BQ39" s="232">
        <v>1471</v>
      </c>
      <c r="BR39" s="227">
        <f t="shared" si="11"/>
        <v>30327.210000000003</v>
      </c>
      <c r="BS39" s="227">
        <f t="shared" si="12"/>
        <v>141171.26999999999</v>
      </c>
      <c r="BT39" s="276">
        <f t="shared" si="13"/>
        <v>219842.44</v>
      </c>
    </row>
    <row r="40" spans="1:72" ht="15.75" customHeight="1" thickTop="1">
      <c r="A40" s="76"/>
      <c r="B40" s="715" t="s">
        <v>831</v>
      </c>
      <c r="C40" s="220">
        <v>2009</v>
      </c>
      <c r="D40" s="221">
        <f t="shared" ref="D40:E51" si="14">IF(D$27&gt;0,D$28*$C$9/$C$6,0)</f>
        <v>0</v>
      </c>
      <c r="E40" s="221">
        <f t="shared" si="14"/>
        <v>44235.986666666671</v>
      </c>
      <c r="F40" s="222">
        <f t="shared" ref="F40:F51" si="15">SUM(D40:E40)</f>
        <v>44235.986666666671</v>
      </c>
      <c r="G40" s="221">
        <f t="shared" ref="G40:P51" si="16">IF(G$27&gt;0,G$28*$C$9/$C$6,0)</f>
        <v>0</v>
      </c>
      <c r="H40" s="221">
        <f t="shared" si="16"/>
        <v>0</v>
      </c>
      <c r="I40" s="221">
        <f t="shared" si="16"/>
        <v>0</v>
      </c>
      <c r="J40" s="221">
        <f t="shared" si="16"/>
        <v>0</v>
      </c>
      <c r="K40" s="221">
        <f t="shared" si="16"/>
        <v>0</v>
      </c>
      <c r="L40" s="221">
        <f t="shared" si="16"/>
        <v>0</v>
      </c>
      <c r="M40" s="221">
        <f t="shared" si="16"/>
        <v>0</v>
      </c>
      <c r="N40" s="221">
        <f t="shared" si="16"/>
        <v>0</v>
      </c>
      <c r="O40" s="221">
        <f t="shared" si="16"/>
        <v>88088</v>
      </c>
      <c r="P40" s="221">
        <f t="shared" si="16"/>
        <v>85696.6</v>
      </c>
      <c r="Q40" s="221">
        <f t="shared" ref="Q40:Y51" si="17">IF(Q$27&gt;0,Q$28*$C$9/$C$6,0)</f>
        <v>74286.666666666672</v>
      </c>
      <c r="R40" s="221">
        <f t="shared" si="17"/>
        <v>0</v>
      </c>
      <c r="S40" s="221">
        <f t="shared" si="17"/>
        <v>0</v>
      </c>
      <c r="T40" s="221">
        <f t="shared" si="17"/>
        <v>0</v>
      </c>
      <c r="U40" s="221">
        <f t="shared" si="17"/>
        <v>0</v>
      </c>
      <c r="V40" s="221">
        <f t="shared" si="17"/>
        <v>0</v>
      </c>
      <c r="W40" s="221">
        <f t="shared" si="17"/>
        <v>0</v>
      </c>
      <c r="X40" s="221">
        <f t="shared" si="17"/>
        <v>0</v>
      </c>
      <c r="Y40" s="221">
        <f t="shared" si="17"/>
        <v>0</v>
      </c>
      <c r="Z40" s="222">
        <f t="shared" ref="Z40:Z51" si="18">SUM(G40:Y40)</f>
        <v>248071.26666666666</v>
      </c>
      <c r="AA40" s="221">
        <f t="shared" ref="AA40:AJ51" si="19">IF(AA$27&gt;0,AA$28*$C$9/$C$6,0)</f>
        <v>0</v>
      </c>
      <c r="AB40" s="221">
        <f t="shared" si="19"/>
        <v>0</v>
      </c>
      <c r="AC40" s="221">
        <f t="shared" si="19"/>
        <v>120020.70666666665</v>
      </c>
      <c r="AD40" s="221">
        <f t="shared" si="19"/>
        <v>0</v>
      </c>
      <c r="AE40" s="221">
        <f t="shared" si="19"/>
        <v>0</v>
      </c>
      <c r="AF40" s="221">
        <f t="shared" si="19"/>
        <v>0</v>
      </c>
      <c r="AG40" s="221">
        <f t="shared" si="19"/>
        <v>0</v>
      </c>
      <c r="AH40" s="221">
        <f t="shared" si="19"/>
        <v>0</v>
      </c>
      <c r="AI40" s="221">
        <f t="shared" si="19"/>
        <v>0</v>
      </c>
      <c r="AJ40" s="221">
        <f t="shared" si="19"/>
        <v>0</v>
      </c>
      <c r="AK40" s="221">
        <f t="shared" ref="AK40:AT51" si="20">IF(AK$27&gt;0,AK$28*$C$9/$C$6,0)</f>
        <v>0</v>
      </c>
      <c r="AL40" s="221">
        <f t="shared" si="20"/>
        <v>0</v>
      </c>
      <c r="AM40" s="221">
        <f t="shared" si="20"/>
        <v>0</v>
      </c>
      <c r="AN40" s="221">
        <f t="shared" si="20"/>
        <v>0</v>
      </c>
      <c r="AO40" s="221">
        <f t="shared" si="20"/>
        <v>0</v>
      </c>
      <c r="AP40" s="221">
        <f t="shared" si="20"/>
        <v>0</v>
      </c>
      <c r="AQ40" s="221">
        <f t="shared" si="20"/>
        <v>76486.666666666672</v>
      </c>
      <c r="AR40" s="221">
        <f t="shared" si="20"/>
        <v>0</v>
      </c>
      <c r="AS40" s="221">
        <f t="shared" si="20"/>
        <v>0</v>
      </c>
      <c r="AT40" s="221">
        <f t="shared" si="20"/>
        <v>0</v>
      </c>
      <c r="AU40" s="221">
        <f t="shared" ref="AU40:BI51" si="21">IF(AU$27&gt;0,AU$28*$C$9/$C$6,0)</f>
        <v>0</v>
      </c>
      <c r="AV40" s="221">
        <f t="shared" si="21"/>
        <v>0</v>
      </c>
      <c r="AW40" s="221">
        <f t="shared" si="21"/>
        <v>0</v>
      </c>
      <c r="AX40" s="221">
        <f t="shared" si="21"/>
        <v>0</v>
      </c>
      <c r="AY40" s="221">
        <f t="shared" si="21"/>
        <v>0</v>
      </c>
      <c r="AZ40" s="221">
        <f t="shared" si="21"/>
        <v>0</v>
      </c>
      <c r="BA40" s="221">
        <f t="shared" si="21"/>
        <v>0</v>
      </c>
      <c r="BB40" s="221">
        <f t="shared" si="21"/>
        <v>1202.6666666666667</v>
      </c>
      <c r="BC40" s="221">
        <f t="shared" si="21"/>
        <v>0</v>
      </c>
      <c r="BD40" s="221">
        <f t="shared" si="21"/>
        <v>0</v>
      </c>
      <c r="BE40" s="221">
        <f t="shared" si="21"/>
        <v>0</v>
      </c>
      <c r="BF40" s="221">
        <f t="shared" si="21"/>
        <v>0</v>
      </c>
      <c r="BG40" s="221">
        <f t="shared" si="21"/>
        <v>0</v>
      </c>
      <c r="BH40" s="221">
        <f t="shared" si="21"/>
        <v>0</v>
      </c>
      <c r="BI40" s="221">
        <f t="shared" si="21"/>
        <v>0</v>
      </c>
      <c r="BJ40" s="240">
        <f t="shared" si="10"/>
        <v>197710.03999999998</v>
      </c>
      <c r="BK40" s="221">
        <f t="shared" ref="BK40:BQ51" si="22">IF(BK$27&gt;0,BK$28*$C$9/$C$6,0)</f>
        <v>0</v>
      </c>
      <c r="BL40" s="221">
        <f t="shared" si="22"/>
        <v>0</v>
      </c>
      <c r="BM40" s="221">
        <f t="shared" si="22"/>
        <v>0</v>
      </c>
      <c r="BN40" s="221">
        <f t="shared" si="22"/>
        <v>0</v>
      </c>
      <c r="BO40" s="221">
        <f t="shared" si="22"/>
        <v>3769.3333333333335</v>
      </c>
      <c r="BP40" s="221">
        <f t="shared" si="22"/>
        <v>0</v>
      </c>
      <c r="BQ40" s="221">
        <f t="shared" si="22"/>
        <v>21574.666666666668</v>
      </c>
      <c r="BR40" s="240">
        <f>SUM(BK40:BQ40)</f>
        <v>25344</v>
      </c>
      <c r="BS40" s="240">
        <f t="shared" si="12"/>
        <v>223054.03999999998</v>
      </c>
      <c r="BT40" s="248">
        <f t="shared" si="13"/>
        <v>515361.29333333333</v>
      </c>
    </row>
    <row r="41" spans="1:72">
      <c r="A41" s="76"/>
      <c r="B41" s="716"/>
      <c r="C41" s="216">
        <v>2010</v>
      </c>
      <c r="D41" s="218">
        <f t="shared" si="14"/>
        <v>0</v>
      </c>
      <c r="E41" s="218">
        <f t="shared" si="14"/>
        <v>44235.986666666671</v>
      </c>
      <c r="F41" s="214">
        <f t="shared" si="15"/>
        <v>44235.986666666671</v>
      </c>
      <c r="G41" s="218">
        <f t="shared" si="16"/>
        <v>0</v>
      </c>
      <c r="H41" s="218">
        <f t="shared" si="16"/>
        <v>0</v>
      </c>
      <c r="I41" s="218">
        <f t="shared" si="16"/>
        <v>0</v>
      </c>
      <c r="J41" s="218">
        <f t="shared" si="16"/>
        <v>0</v>
      </c>
      <c r="K41" s="218">
        <f t="shared" si="16"/>
        <v>0</v>
      </c>
      <c r="L41" s="218">
        <f t="shared" si="16"/>
        <v>0</v>
      </c>
      <c r="M41" s="218">
        <f t="shared" si="16"/>
        <v>0</v>
      </c>
      <c r="N41" s="218">
        <f t="shared" si="16"/>
        <v>0</v>
      </c>
      <c r="O41" s="218">
        <f t="shared" si="16"/>
        <v>88088</v>
      </c>
      <c r="P41" s="218">
        <f t="shared" si="16"/>
        <v>85696.6</v>
      </c>
      <c r="Q41" s="218">
        <f t="shared" si="17"/>
        <v>74286.666666666672</v>
      </c>
      <c r="R41" s="218">
        <f t="shared" si="17"/>
        <v>0</v>
      </c>
      <c r="S41" s="218">
        <f t="shared" si="17"/>
        <v>0</v>
      </c>
      <c r="T41" s="218">
        <f t="shared" si="17"/>
        <v>0</v>
      </c>
      <c r="U41" s="218">
        <f t="shared" si="17"/>
        <v>0</v>
      </c>
      <c r="V41" s="218">
        <f t="shared" si="17"/>
        <v>0</v>
      </c>
      <c r="W41" s="218">
        <f t="shared" si="17"/>
        <v>0</v>
      </c>
      <c r="X41" s="218">
        <f t="shared" si="17"/>
        <v>0</v>
      </c>
      <c r="Y41" s="218">
        <f t="shared" si="17"/>
        <v>0</v>
      </c>
      <c r="Z41" s="214">
        <f t="shared" si="18"/>
        <v>248071.26666666666</v>
      </c>
      <c r="AA41" s="218">
        <f t="shared" si="19"/>
        <v>0</v>
      </c>
      <c r="AB41" s="218">
        <f t="shared" si="19"/>
        <v>0</v>
      </c>
      <c r="AC41" s="218">
        <f t="shared" si="19"/>
        <v>120020.70666666665</v>
      </c>
      <c r="AD41" s="218">
        <f t="shared" si="19"/>
        <v>0</v>
      </c>
      <c r="AE41" s="218">
        <f t="shared" si="19"/>
        <v>0</v>
      </c>
      <c r="AF41" s="218">
        <f t="shared" si="19"/>
        <v>0</v>
      </c>
      <c r="AG41" s="218">
        <f t="shared" si="19"/>
        <v>0</v>
      </c>
      <c r="AH41" s="218">
        <f t="shared" si="19"/>
        <v>0</v>
      </c>
      <c r="AI41" s="218">
        <f t="shared" si="19"/>
        <v>0</v>
      </c>
      <c r="AJ41" s="218">
        <f t="shared" si="19"/>
        <v>0</v>
      </c>
      <c r="AK41" s="218">
        <f t="shared" si="20"/>
        <v>0</v>
      </c>
      <c r="AL41" s="218">
        <f t="shared" si="20"/>
        <v>0</v>
      </c>
      <c r="AM41" s="218">
        <f t="shared" si="20"/>
        <v>0</v>
      </c>
      <c r="AN41" s="218">
        <f t="shared" si="20"/>
        <v>0</v>
      </c>
      <c r="AO41" s="218">
        <f t="shared" si="20"/>
        <v>0</v>
      </c>
      <c r="AP41" s="218">
        <f t="shared" si="20"/>
        <v>0</v>
      </c>
      <c r="AQ41" s="218">
        <f t="shared" si="20"/>
        <v>76486.666666666672</v>
      </c>
      <c r="AR41" s="218">
        <f t="shared" si="20"/>
        <v>0</v>
      </c>
      <c r="AS41" s="218">
        <f t="shared" si="20"/>
        <v>0</v>
      </c>
      <c r="AT41" s="218">
        <f t="shared" si="20"/>
        <v>0</v>
      </c>
      <c r="AU41" s="218">
        <f t="shared" si="21"/>
        <v>0</v>
      </c>
      <c r="AV41" s="218">
        <f t="shared" si="21"/>
        <v>0</v>
      </c>
      <c r="AW41" s="218">
        <f t="shared" si="21"/>
        <v>0</v>
      </c>
      <c r="AX41" s="218">
        <f t="shared" si="21"/>
        <v>0</v>
      </c>
      <c r="AY41" s="218">
        <f t="shared" si="21"/>
        <v>0</v>
      </c>
      <c r="AZ41" s="218">
        <f t="shared" si="21"/>
        <v>0</v>
      </c>
      <c r="BA41" s="218">
        <f t="shared" si="21"/>
        <v>0</v>
      </c>
      <c r="BB41" s="218">
        <f t="shared" si="21"/>
        <v>1202.6666666666667</v>
      </c>
      <c r="BC41" s="218">
        <f t="shared" si="21"/>
        <v>0</v>
      </c>
      <c r="BD41" s="218">
        <f t="shared" si="21"/>
        <v>0</v>
      </c>
      <c r="BE41" s="218">
        <f t="shared" si="21"/>
        <v>0</v>
      </c>
      <c r="BF41" s="218">
        <f t="shared" si="21"/>
        <v>0</v>
      </c>
      <c r="BG41" s="218">
        <f t="shared" si="21"/>
        <v>0</v>
      </c>
      <c r="BH41" s="218">
        <f t="shared" si="21"/>
        <v>0</v>
      </c>
      <c r="BI41" s="218">
        <f t="shared" si="21"/>
        <v>0</v>
      </c>
      <c r="BJ41" s="153">
        <f t="shared" si="10"/>
        <v>197710.03999999998</v>
      </c>
      <c r="BK41" s="218">
        <f t="shared" si="22"/>
        <v>0</v>
      </c>
      <c r="BL41" s="218">
        <f t="shared" si="22"/>
        <v>0</v>
      </c>
      <c r="BM41" s="218">
        <f t="shared" si="22"/>
        <v>0</v>
      </c>
      <c r="BN41" s="218">
        <f t="shared" si="22"/>
        <v>0</v>
      </c>
      <c r="BO41" s="218">
        <f t="shared" si="22"/>
        <v>3769.3333333333335</v>
      </c>
      <c r="BP41" s="218">
        <f t="shared" si="22"/>
        <v>0</v>
      </c>
      <c r="BQ41" s="218">
        <f t="shared" si="22"/>
        <v>21574.666666666668</v>
      </c>
      <c r="BR41" s="153">
        <f t="shared" ref="BR41:BR51" si="23">SUM(BK41:BQ41)</f>
        <v>25344</v>
      </c>
      <c r="BS41" s="153">
        <f t="shared" si="12"/>
        <v>223054.03999999998</v>
      </c>
      <c r="BT41" s="249">
        <f t="shared" si="13"/>
        <v>515361.29333333333</v>
      </c>
    </row>
    <row r="42" spans="1:72">
      <c r="A42" s="76"/>
      <c r="B42" s="716"/>
      <c r="C42" s="216">
        <v>2011</v>
      </c>
      <c r="D42" s="218">
        <f t="shared" si="14"/>
        <v>0</v>
      </c>
      <c r="E42" s="218">
        <f t="shared" si="14"/>
        <v>44235.986666666671</v>
      </c>
      <c r="F42" s="214">
        <f t="shared" si="15"/>
        <v>44235.986666666671</v>
      </c>
      <c r="G42" s="218">
        <f t="shared" si="16"/>
        <v>0</v>
      </c>
      <c r="H42" s="218">
        <f t="shared" si="16"/>
        <v>0</v>
      </c>
      <c r="I42" s="218">
        <f t="shared" si="16"/>
        <v>0</v>
      </c>
      <c r="J42" s="218">
        <f t="shared" si="16"/>
        <v>0</v>
      </c>
      <c r="K42" s="218">
        <f t="shared" si="16"/>
        <v>0</v>
      </c>
      <c r="L42" s="218">
        <f t="shared" si="16"/>
        <v>0</v>
      </c>
      <c r="M42" s="218">
        <f t="shared" si="16"/>
        <v>0</v>
      </c>
      <c r="N42" s="218">
        <f t="shared" si="16"/>
        <v>0</v>
      </c>
      <c r="O42" s="218">
        <f t="shared" si="16"/>
        <v>88088</v>
      </c>
      <c r="P42" s="218">
        <f t="shared" si="16"/>
        <v>85696.6</v>
      </c>
      <c r="Q42" s="218">
        <f t="shared" si="17"/>
        <v>74286.666666666672</v>
      </c>
      <c r="R42" s="218">
        <f t="shared" si="17"/>
        <v>0</v>
      </c>
      <c r="S42" s="218">
        <f t="shared" si="17"/>
        <v>0</v>
      </c>
      <c r="T42" s="218">
        <f t="shared" si="17"/>
        <v>0</v>
      </c>
      <c r="U42" s="218">
        <f t="shared" si="17"/>
        <v>0</v>
      </c>
      <c r="V42" s="218">
        <f t="shared" si="17"/>
        <v>0</v>
      </c>
      <c r="W42" s="218">
        <f t="shared" si="17"/>
        <v>0</v>
      </c>
      <c r="X42" s="218">
        <f t="shared" si="17"/>
        <v>0</v>
      </c>
      <c r="Y42" s="218">
        <f t="shared" si="17"/>
        <v>0</v>
      </c>
      <c r="Z42" s="214">
        <f t="shared" si="18"/>
        <v>248071.26666666666</v>
      </c>
      <c r="AA42" s="218">
        <f t="shared" si="19"/>
        <v>0</v>
      </c>
      <c r="AB42" s="218">
        <f t="shared" si="19"/>
        <v>0</v>
      </c>
      <c r="AC42" s="218">
        <f t="shared" si="19"/>
        <v>120020.70666666665</v>
      </c>
      <c r="AD42" s="218">
        <f t="shared" si="19"/>
        <v>0</v>
      </c>
      <c r="AE42" s="218">
        <f t="shared" si="19"/>
        <v>0</v>
      </c>
      <c r="AF42" s="218">
        <f t="shared" si="19"/>
        <v>0</v>
      </c>
      <c r="AG42" s="218">
        <f t="shared" si="19"/>
        <v>0</v>
      </c>
      <c r="AH42" s="218">
        <f t="shared" si="19"/>
        <v>0</v>
      </c>
      <c r="AI42" s="218">
        <f t="shared" si="19"/>
        <v>0</v>
      </c>
      <c r="AJ42" s="218">
        <f t="shared" si="19"/>
        <v>0</v>
      </c>
      <c r="AK42" s="218">
        <f t="shared" si="20"/>
        <v>0</v>
      </c>
      <c r="AL42" s="218">
        <f t="shared" si="20"/>
        <v>0</v>
      </c>
      <c r="AM42" s="218">
        <f t="shared" si="20"/>
        <v>0</v>
      </c>
      <c r="AN42" s="218">
        <f t="shared" si="20"/>
        <v>0</v>
      </c>
      <c r="AO42" s="218">
        <f t="shared" si="20"/>
        <v>0</v>
      </c>
      <c r="AP42" s="218">
        <f t="shared" si="20"/>
        <v>0</v>
      </c>
      <c r="AQ42" s="218">
        <f t="shared" si="20"/>
        <v>76486.666666666672</v>
      </c>
      <c r="AR42" s="218">
        <f t="shared" si="20"/>
        <v>0</v>
      </c>
      <c r="AS42" s="218">
        <f t="shared" si="20"/>
        <v>0</v>
      </c>
      <c r="AT42" s="218">
        <f t="shared" si="20"/>
        <v>0</v>
      </c>
      <c r="AU42" s="218">
        <f t="shared" si="21"/>
        <v>0</v>
      </c>
      <c r="AV42" s="218">
        <f t="shared" si="21"/>
        <v>0</v>
      </c>
      <c r="AW42" s="218">
        <f t="shared" si="21"/>
        <v>0</v>
      </c>
      <c r="AX42" s="218">
        <f t="shared" si="21"/>
        <v>0</v>
      </c>
      <c r="AY42" s="218">
        <f t="shared" si="21"/>
        <v>0</v>
      </c>
      <c r="AZ42" s="218">
        <f t="shared" si="21"/>
        <v>0</v>
      </c>
      <c r="BA42" s="218">
        <f t="shared" si="21"/>
        <v>0</v>
      </c>
      <c r="BB42" s="218">
        <f t="shared" si="21"/>
        <v>1202.6666666666667</v>
      </c>
      <c r="BC42" s="218">
        <f t="shared" si="21"/>
        <v>0</v>
      </c>
      <c r="BD42" s="218">
        <f t="shared" si="21"/>
        <v>0</v>
      </c>
      <c r="BE42" s="218">
        <f t="shared" si="21"/>
        <v>0</v>
      </c>
      <c r="BF42" s="218">
        <f t="shared" si="21"/>
        <v>0</v>
      </c>
      <c r="BG42" s="218">
        <f t="shared" si="21"/>
        <v>0</v>
      </c>
      <c r="BH42" s="218">
        <f t="shared" si="21"/>
        <v>0</v>
      </c>
      <c r="BI42" s="218">
        <f t="shared" si="21"/>
        <v>0</v>
      </c>
      <c r="BJ42" s="153">
        <f t="shared" si="10"/>
        <v>197710.03999999998</v>
      </c>
      <c r="BK42" s="218">
        <f t="shared" si="22"/>
        <v>0</v>
      </c>
      <c r="BL42" s="218">
        <f t="shared" si="22"/>
        <v>0</v>
      </c>
      <c r="BM42" s="218">
        <f t="shared" si="22"/>
        <v>0</v>
      </c>
      <c r="BN42" s="218">
        <f t="shared" si="22"/>
        <v>0</v>
      </c>
      <c r="BO42" s="218">
        <f t="shared" si="22"/>
        <v>3769.3333333333335</v>
      </c>
      <c r="BP42" s="218">
        <f t="shared" si="22"/>
        <v>0</v>
      </c>
      <c r="BQ42" s="218">
        <f t="shared" si="22"/>
        <v>21574.666666666668</v>
      </c>
      <c r="BR42" s="153">
        <f t="shared" si="23"/>
        <v>25344</v>
      </c>
      <c r="BS42" s="153">
        <f t="shared" si="12"/>
        <v>223054.03999999998</v>
      </c>
      <c r="BT42" s="249">
        <f t="shared" si="13"/>
        <v>515361.29333333333</v>
      </c>
    </row>
    <row r="43" spans="1:72">
      <c r="A43" s="76"/>
      <c r="B43" s="716"/>
      <c r="C43" s="216">
        <v>2012</v>
      </c>
      <c r="D43" s="218">
        <f t="shared" si="14"/>
        <v>0</v>
      </c>
      <c r="E43" s="218">
        <f t="shared" si="14"/>
        <v>44235.986666666671</v>
      </c>
      <c r="F43" s="214">
        <f t="shared" si="15"/>
        <v>44235.986666666671</v>
      </c>
      <c r="G43" s="218">
        <f t="shared" si="16"/>
        <v>0</v>
      </c>
      <c r="H43" s="218">
        <f t="shared" si="16"/>
        <v>0</v>
      </c>
      <c r="I43" s="218">
        <f t="shared" si="16"/>
        <v>0</v>
      </c>
      <c r="J43" s="218">
        <f t="shared" si="16"/>
        <v>0</v>
      </c>
      <c r="K43" s="218">
        <f t="shared" si="16"/>
        <v>0</v>
      </c>
      <c r="L43" s="218">
        <f t="shared" si="16"/>
        <v>0</v>
      </c>
      <c r="M43" s="218">
        <f t="shared" si="16"/>
        <v>0</v>
      </c>
      <c r="N43" s="218">
        <f t="shared" si="16"/>
        <v>0</v>
      </c>
      <c r="O43" s="218">
        <f t="shared" si="16"/>
        <v>88088</v>
      </c>
      <c r="P43" s="218">
        <f t="shared" si="16"/>
        <v>85696.6</v>
      </c>
      <c r="Q43" s="218">
        <f t="shared" si="17"/>
        <v>74286.666666666672</v>
      </c>
      <c r="R43" s="218">
        <f t="shared" si="17"/>
        <v>0</v>
      </c>
      <c r="S43" s="218">
        <f t="shared" si="17"/>
        <v>0</v>
      </c>
      <c r="T43" s="218">
        <f t="shared" si="17"/>
        <v>0</v>
      </c>
      <c r="U43" s="218">
        <f t="shared" si="17"/>
        <v>0</v>
      </c>
      <c r="V43" s="218">
        <f t="shared" si="17"/>
        <v>0</v>
      </c>
      <c r="W43" s="218">
        <f t="shared" si="17"/>
        <v>0</v>
      </c>
      <c r="X43" s="218">
        <f t="shared" si="17"/>
        <v>0</v>
      </c>
      <c r="Y43" s="218">
        <f t="shared" si="17"/>
        <v>0</v>
      </c>
      <c r="Z43" s="214">
        <f t="shared" si="18"/>
        <v>248071.26666666666</v>
      </c>
      <c r="AA43" s="218">
        <f t="shared" si="19"/>
        <v>0</v>
      </c>
      <c r="AB43" s="218">
        <f t="shared" si="19"/>
        <v>0</v>
      </c>
      <c r="AC43" s="218">
        <f t="shared" si="19"/>
        <v>120020.70666666665</v>
      </c>
      <c r="AD43" s="218">
        <f t="shared" si="19"/>
        <v>0</v>
      </c>
      <c r="AE43" s="218">
        <f t="shared" si="19"/>
        <v>0</v>
      </c>
      <c r="AF43" s="218">
        <f t="shared" si="19"/>
        <v>0</v>
      </c>
      <c r="AG43" s="218">
        <f t="shared" si="19"/>
        <v>0</v>
      </c>
      <c r="AH43" s="218">
        <f t="shared" si="19"/>
        <v>0</v>
      </c>
      <c r="AI43" s="218">
        <f t="shared" si="19"/>
        <v>0</v>
      </c>
      <c r="AJ43" s="218">
        <f t="shared" si="19"/>
        <v>0</v>
      </c>
      <c r="AK43" s="218">
        <f t="shared" si="20"/>
        <v>0</v>
      </c>
      <c r="AL43" s="218">
        <f t="shared" si="20"/>
        <v>0</v>
      </c>
      <c r="AM43" s="218">
        <f t="shared" si="20"/>
        <v>0</v>
      </c>
      <c r="AN43" s="218">
        <f t="shared" si="20"/>
        <v>0</v>
      </c>
      <c r="AO43" s="218">
        <f t="shared" si="20"/>
        <v>0</v>
      </c>
      <c r="AP43" s="218">
        <f t="shared" si="20"/>
        <v>0</v>
      </c>
      <c r="AQ43" s="218">
        <f t="shared" si="20"/>
        <v>76486.666666666672</v>
      </c>
      <c r="AR43" s="218">
        <f t="shared" si="20"/>
        <v>0</v>
      </c>
      <c r="AS43" s="218">
        <f t="shared" si="20"/>
        <v>0</v>
      </c>
      <c r="AT43" s="218">
        <f t="shared" si="20"/>
        <v>0</v>
      </c>
      <c r="AU43" s="218">
        <f t="shared" si="21"/>
        <v>0</v>
      </c>
      <c r="AV43" s="218">
        <f t="shared" si="21"/>
        <v>0</v>
      </c>
      <c r="AW43" s="218">
        <f t="shared" si="21"/>
        <v>0</v>
      </c>
      <c r="AX43" s="218">
        <f t="shared" si="21"/>
        <v>0</v>
      </c>
      <c r="AY43" s="218">
        <f t="shared" si="21"/>
        <v>0</v>
      </c>
      <c r="AZ43" s="218">
        <f t="shared" si="21"/>
        <v>0</v>
      </c>
      <c r="BA43" s="218">
        <f t="shared" si="21"/>
        <v>0</v>
      </c>
      <c r="BB43" s="218">
        <f t="shared" si="21"/>
        <v>1202.6666666666667</v>
      </c>
      <c r="BC43" s="218">
        <f t="shared" si="21"/>
        <v>0</v>
      </c>
      <c r="BD43" s="218">
        <f t="shared" si="21"/>
        <v>0</v>
      </c>
      <c r="BE43" s="218">
        <f t="shared" si="21"/>
        <v>0</v>
      </c>
      <c r="BF43" s="218">
        <f t="shared" si="21"/>
        <v>0</v>
      </c>
      <c r="BG43" s="218">
        <f t="shared" si="21"/>
        <v>0</v>
      </c>
      <c r="BH43" s="218">
        <f t="shared" si="21"/>
        <v>0</v>
      </c>
      <c r="BI43" s="218">
        <f t="shared" si="21"/>
        <v>0</v>
      </c>
      <c r="BJ43" s="153">
        <f t="shared" si="10"/>
        <v>197710.03999999998</v>
      </c>
      <c r="BK43" s="218">
        <f t="shared" si="22"/>
        <v>0</v>
      </c>
      <c r="BL43" s="218">
        <f t="shared" si="22"/>
        <v>0</v>
      </c>
      <c r="BM43" s="218">
        <f t="shared" si="22"/>
        <v>0</v>
      </c>
      <c r="BN43" s="218">
        <f t="shared" si="22"/>
        <v>0</v>
      </c>
      <c r="BO43" s="218">
        <f t="shared" si="22"/>
        <v>3769.3333333333335</v>
      </c>
      <c r="BP43" s="218">
        <f t="shared" si="22"/>
        <v>0</v>
      </c>
      <c r="BQ43" s="218">
        <f t="shared" si="22"/>
        <v>21574.666666666668</v>
      </c>
      <c r="BR43" s="153">
        <f t="shared" si="23"/>
        <v>25344</v>
      </c>
      <c r="BS43" s="153">
        <f t="shared" si="12"/>
        <v>223054.03999999998</v>
      </c>
      <c r="BT43" s="249">
        <f t="shared" si="13"/>
        <v>515361.29333333333</v>
      </c>
    </row>
    <row r="44" spans="1:72">
      <c r="A44" s="76"/>
      <c r="B44" s="716"/>
      <c r="C44" s="216">
        <v>2013</v>
      </c>
      <c r="D44" s="218">
        <f t="shared" si="14"/>
        <v>0</v>
      </c>
      <c r="E44" s="218">
        <f t="shared" si="14"/>
        <v>44235.986666666671</v>
      </c>
      <c r="F44" s="214">
        <f t="shared" si="15"/>
        <v>44235.986666666671</v>
      </c>
      <c r="G44" s="218">
        <f t="shared" si="16"/>
        <v>0</v>
      </c>
      <c r="H44" s="218">
        <f t="shared" si="16"/>
        <v>0</v>
      </c>
      <c r="I44" s="218">
        <f t="shared" si="16"/>
        <v>0</v>
      </c>
      <c r="J44" s="218">
        <f t="shared" si="16"/>
        <v>0</v>
      </c>
      <c r="K44" s="218">
        <f t="shared" si="16"/>
        <v>0</v>
      </c>
      <c r="L44" s="218">
        <f t="shared" si="16"/>
        <v>0</v>
      </c>
      <c r="M44" s="218">
        <f t="shared" si="16"/>
        <v>0</v>
      </c>
      <c r="N44" s="218">
        <f t="shared" si="16"/>
        <v>0</v>
      </c>
      <c r="O44" s="218">
        <f t="shared" si="16"/>
        <v>88088</v>
      </c>
      <c r="P44" s="218">
        <f t="shared" si="16"/>
        <v>85696.6</v>
      </c>
      <c r="Q44" s="218">
        <f t="shared" si="17"/>
        <v>74286.666666666672</v>
      </c>
      <c r="R44" s="218">
        <f t="shared" si="17"/>
        <v>0</v>
      </c>
      <c r="S44" s="218">
        <f t="shared" si="17"/>
        <v>0</v>
      </c>
      <c r="T44" s="218">
        <f t="shared" si="17"/>
        <v>0</v>
      </c>
      <c r="U44" s="218">
        <f t="shared" si="17"/>
        <v>0</v>
      </c>
      <c r="V44" s="218">
        <f t="shared" si="17"/>
        <v>0</v>
      </c>
      <c r="W44" s="218">
        <f t="shared" si="17"/>
        <v>0</v>
      </c>
      <c r="X44" s="218">
        <f t="shared" si="17"/>
        <v>0</v>
      </c>
      <c r="Y44" s="218">
        <f t="shared" si="17"/>
        <v>0</v>
      </c>
      <c r="Z44" s="214">
        <f t="shared" si="18"/>
        <v>248071.26666666666</v>
      </c>
      <c r="AA44" s="218">
        <f t="shared" si="19"/>
        <v>0</v>
      </c>
      <c r="AB44" s="218">
        <f t="shared" si="19"/>
        <v>0</v>
      </c>
      <c r="AC44" s="218">
        <f t="shared" si="19"/>
        <v>120020.70666666665</v>
      </c>
      <c r="AD44" s="218">
        <f t="shared" si="19"/>
        <v>0</v>
      </c>
      <c r="AE44" s="218">
        <f t="shared" si="19"/>
        <v>0</v>
      </c>
      <c r="AF44" s="218">
        <f t="shared" si="19"/>
        <v>0</v>
      </c>
      <c r="AG44" s="218">
        <f t="shared" si="19"/>
        <v>0</v>
      </c>
      <c r="AH44" s="218">
        <f t="shared" si="19"/>
        <v>0</v>
      </c>
      <c r="AI44" s="218">
        <f t="shared" si="19"/>
        <v>0</v>
      </c>
      <c r="AJ44" s="218">
        <f t="shared" si="19"/>
        <v>0</v>
      </c>
      <c r="AK44" s="218">
        <f t="shared" si="20"/>
        <v>0</v>
      </c>
      <c r="AL44" s="218">
        <f t="shared" si="20"/>
        <v>0</v>
      </c>
      <c r="AM44" s="218">
        <f t="shared" si="20"/>
        <v>0</v>
      </c>
      <c r="AN44" s="218">
        <f t="shared" si="20"/>
        <v>0</v>
      </c>
      <c r="AO44" s="218">
        <f t="shared" si="20"/>
        <v>0</v>
      </c>
      <c r="AP44" s="218">
        <f t="shared" si="20"/>
        <v>0</v>
      </c>
      <c r="AQ44" s="218">
        <f t="shared" si="20"/>
        <v>76486.666666666672</v>
      </c>
      <c r="AR44" s="218">
        <f t="shared" si="20"/>
        <v>0</v>
      </c>
      <c r="AS44" s="218">
        <f t="shared" si="20"/>
        <v>0</v>
      </c>
      <c r="AT44" s="218">
        <f t="shared" si="20"/>
        <v>0</v>
      </c>
      <c r="AU44" s="218">
        <f t="shared" si="21"/>
        <v>0</v>
      </c>
      <c r="AV44" s="218">
        <f t="shared" si="21"/>
        <v>0</v>
      </c>
      <c r="AW44" s="218">
        <f t="shared" si="21"/>
        <v>0</v>
      </c>
      <c r="AX44" s="218">
        <f t="shared" si="21"/>
        <v>0</v>
      </c>
      <c r="AY44" s="218">
        <f t="shared" si="21"/>
        <v>0</v>
      </c>
      <c r="AZ44" s="218">
        <f t="shared" si="21"/>
        <v>0</v>
      </c>
      <c r="BA44" s="218">
        <f t="shared" si="21"/>
        <v>0</v>
      </c>
      <c r="BB44" s="218">
        <f t="shared" si="21"/>
        <v>1202.6666666666667</v>
      </c>
      <c r="BC44" s="218">
        <f t="shared" si="21"/>
        <v>0</v>
      </c>
      <c r="BD44" s="218">
        <f t="shared" si="21"/>
        <v>0</v>
      </c>
      <c r="BE44" s="218">
        <f t="shared" si="21"/>
        <v>0</v>
      </c>
      <c r="BF44" s="218">
        <f t="shared" si="21"/>
        <v>0</v>
      </c>
      <c r="BG44" s="218">
        <f t="shared" si="21"/>
        <v>0</v>
      </c>
      <c r="BH44" s="218">
        <f t="shared" si="21"/>
        <v>0</v>
      </c>
      <c r="BI44" s="218">
        <f t="shared" si="21"/>
        <v>0</v>
      </c>
      <c r="BJ44" s="153">
        <f t="shared" si="10"/>
        <v>197710.03999999998</v>
      </c>
      <c r="BK44" s="218">
        <f t="shared" si="22"/>
        <v>0</v>
      </c>
      <c r="BL44" s="218">
        <f t="shared" si="22"/>
        <v>0</v>
      </c>
      <c r="BM44" s="218">
        <f t="shared" si="22"/>
        <v>0</v>
      </c>
      <c r="BN44" s="218">
        <f t="shared" si="22"/>
        <v>0</v>
      </c>
      <c r="BO44" s="218">
        <f t="shared" si="22"/>
        <v>3769.3333333333335</v>
      </c>
      <c r="BP44" s="218">
        <f t="shared" si="22"/>
        <v>0</v>
      </c>
      <c r="BQ44" s="218">
        <f t="shared" si="22"/>
        <v>21574.666666666668</v>
      </c>
      <c r="BR44" s="153">
        <f t="shared" si="23"/>
        <v>25344</v>
      </c>
      <c r="BS44" s="153">
        <f t="shared" si="12"/>
        <v>223054.03999999998</v>
      </c>
      <c r="BT44" s="249">
        <f t="shared" si="13"/>
        <v>515361.29333333333</v>
      </c>
    </row>
    <row r="45" spans="1:72">
      <c r="B45" s="716"/>
      <c r="C45" s="216">
        <v>2014</v>
      </c>
      <c r="D45" s="218">
        <f t="shared" si="14"/>
        <v>0</v>
      </c>
      <c r="E45" s="218">
        <f t="shared" si="14"/>
        <v>44235.986666666671</v>
      </c>
      <c r="F45" s="214">
        <f t="shared" si="15"/>
        <v>44235.986666666671</v>
      </c>
      <c r="G45" s="218">
        <f t="shared" si="16"/>
        <v>0</v>
      </c>
      <c r="H45" s="218">
        <f t="shared" si="16"/>
        <v>0</v>
      </c>
      <c r="I45" s="218">
        <f t="shared" si="16"/>
        <v>0</v>
      </c>
      <c r="J45" s="218">
        <f t="shared" si="16"/>
        <v>0</v>
      </c>
      <c r="K45" s="218">
        <f t="shared" si="16"/>
        <v>0</v>
      </c>
      <c r="L45" s="218">
        <f t="shared" si="16"/>
        <v>0</v>
      </c>
      <c r="M45" s="218">
        <f t="shared" si="16"/>
        <v>0</v>
      </c>
      <c r="N45" s="218">
        <f t="shared" si="16"/>
        <v>0</v>
      </c>
      <c r="O45" s="218">
        <f t="shared" si="16"/>
        <v>88088</v>
      </c>
      <c r="P45" s="218">
        <f t="shared" si="16"/>
        <v>85696.6</v>
      </c>
      <c r="Q45" s="218">
        <f t="shared" si="17"/>
        <v>74286.666666666672</v>
      </c>
      <c r="R45" s="218">
        <f t="shared" si="17"/>
        <v>0</v>
      </c>
      <c r="S45" s="218">
        <f t="shared" si="17"/>
        <v>0</v>
      </c>
      <c r="T45" s="218">
        <f t="shared" si="17"/>
        <v>0</v>
      </c>
      <c r="U45" s="218">
        <f t="shared" si="17"/>
        <v>0</v>
      </c>
      <c r="V45" s="218">
        <f t="shared" si="17"/>
        <v>0</v>
      </c>
      <c r="W45" s="218">
        <f t="shared" si="17"/>
        <v>0</v>
      </c>
      <c r="X45" s="218">
        <f t="shared" si="17"/>
        <v>0</v>
      </c>
      <c r="Y45" s="218">
        <f t="shared" si="17"/>
        <v>0</v>
      </c>
      <c r="Z45" s="214">
        <f t="shared" si="18"/>
        <v>248071.26666666666</v>
      </c>
      <c r="AA45" s="218">
        <f t="shared" si="19"/>
        <v>0</v>
      </c>
      <c r="AB45" s="218">
        <f t="shared" si="19"/>
        <v>0</v>
      </c>
      <c r="AC45" s="218">
        <f t="shared" si="19"/>
        <v>120020.70666666665</v>
      </c>
      <c r="AD45" s="218">
        <f t="shared" si="19"/>
        <v>0</v>
      </c>
      <c r="AE45" s="218">
        <f t="shared" si="19"/>
        <v>0</v>
      </c>
      <c r="AF45" s="218">
        <f t="shared" si="19"/>
        <v>0</v>
      </c>
      <c r="AG45" s="218">
        <f t="shared" si="19"/>
        <v>0</v>
      </c>
      <c r="AH45" s="218">
        <f t="shared" si="19"/>
        <v>0</v>
      </c>
      <c r="AI45" s="218">
        <f t="shared" si="19"/>
        <v>0</v>
      </c>
      <c r="AJ45" s="218">
        <f t="shared" si="19"/>
        <v>0</v>
      </c>
      <c r="AK45" s="218">
        <f t="shared" si="20"/>
        <v>0</v>
      </c>
      <c r="AL45" s="218">
        <f t="shared" si="20"/>
        <v>0</v>
      </c>
      <c r="AM45" s="218">
        <f t="shared" si="20"/>
        <v>0</v>
      </c>
      <c r="AN45" s="218">
        <f t="shared" si="20"/>
        <v>0</v>
      </c>
      <c r="AO45" s="218">
        <f t="shared" si="20"/>
        <v>0</v>
      </c>
      <c r="AP45" s="218">
        <f t="shared" si="20"/>
        <v>0</v>
      </c>
      <c r="AQ45" s="218">
        <f t="shared" si="20"/>
        <v>76486.666666666672</v>
      </c>
      <c r="AR45" s="218">
        <f t="shared" si="20"/>
        <v>0</v>
      </c>
      <c r="AS45" s="218">
        <f t="shared" si="20"/>
        <v>0</v>
      </c>
      <c r="AT45" s="218">
        <f t="shared" si="20"/>
        <v>0</v>
      </c>
      <c r="AU45" s="218">
        <f t="shared" si="21"/>
        <v>0</v>
      </c>
      <c r="AV45" s="218">
        <f t="shared" si="21"/>
        <v>0</v>
      </c>
      <c r="AW45" s="218">
        <f t="shared" si="21"/>
        <v>0</v>
      </c>
      <c r="AX45" s="218">
        <f t="shared" si="21"/>
        <v>0</v>
      </c>
      <c r="AY45" s="218">
        <f t="shared" si="21"/>
        <v>0</v>
      </c>
      <c r="AZ45" s="218">
        <f t="shared" si="21"/>
        <v>0</v>
      </c>
      <c r="BA45" s="218">
        <f t="shared" si="21"/>
        <v>0</v>
      </c>
      <c r="BB45" s="218">
        <f t="shared" si="21"/>
        <v>1202.6666666666667</v>
      </c>
      <c r="BC45" s="218">
        <f t="shared" si="21"/>
        <v>0</v>
      </c>
      <c r="BD45" s="218">
        <f t="shared" si="21"/>
        <v>0</v>
      </c>
      <c r="BE45" s="218">
        <f t="shared" si="21"/>
        <v>0</v>
      </c>
      <c r="BF45" s="218">
        <f t="shared" si="21"/>
        <v>0</v>
      </c>
      <c r="BG45" s="218">
        <f t="shared" si="21"/>
        <v>0</v>
      </c>
      <c r="BH45" s="218">
        <f t="shared" si="21"/>
        <v>0</v>
      </c>
      <c r="BI45" s="218">
        <f t="shared" si="21"/>
        <v>0</v>
      </c>
      <c r="BJ45" s="153">
        <f t="shared" si="10"/>
        <v>197710.03999999998</v>
      </c>
      <c r="BK45" s="218">
        <f t="shared" si="22"/>
        <v>0</v>
      </c>
      <c r="BL45" s="218">
        <f t="shared" si="22"/>
        <v>0</v>
      </c>
      <c r="BM45" s="218">
        <f t="shared" si="22"/>
        <v>0</v>
      </c>
      <c r="BN45" s="218">
        <f t="shared" si="22"/>
        <v>0</v>
      </c>
      <c r="BO45" s="218">
        <f t="shared" si="22"/>
        <v>3769.3333333333335</v>
      </c>
      <c r="BP45" s="218">
        <f t="shared" si="22"/>
        <v>0</v>
      </c>
      <c r="BQ45" s="218">
        <f t="shared" si="22"/>
        <v>21574.666666666668</v>
      </c>
      <c r="BR45" s="153">
        <f t="shared" si="23"/>
        <v>25344</v>
      </c>
      <c r="BS45" s="153">
        <f t="shared" si="12"/>
        <v>223054.03999999998</v>
      </c>
      <c r="BT45" s="249">
        <f t="shared" si="13"/>
        <v>515361.29333333333</v>
      </c>
    </row>
    <row r="46" spans="1:72">
      <c r="A46" s="76"/>
      <c r="B46" s="716"/>
      <c r="C46" s="216">
        <v>2015</v>
      </c>
      <c r="D46" s="218">
        <f t="shared" si="14"/>
        <v>0</v>
      </c>
      <c r="E46" s="218">
        <f t="shared" si="14"/>
        <v>44235.986666666671</v>
      </c>
      <c r="F46" s="214">
        <f t="shared" si="15"/>
        <v>44235.986666666671</v>
      </c>
      <c r="G46" s="218">
        <f t="shared" si="16"/>
        <v>0</v>
      </c>
      <c r="H46" s="218">
        <f t="shared" si="16"/>
        <v>0</v>
      </c>
      <c r="I46" s="218">
        <f t="shared" si="16"/>
        <v>0</v>
      </c>
      <c r="J46" s="218">
        <f t="shared" si="16"/>
        <v>0</v>
      </c>
      <c r="K46" s="218">
        <f t="shared" si="16"/>
        <v>0</v>
      </c>
      <c r="L46" s="218">
        <f t="shared" si="16"/>
        <v>0</v>
      </c>
      <c r="M46" s="218">
        <f t="shared" si="16"/>
        <v>0</v>
      </c>
      <c r="N46" s="218">
        <f t="shared" si="16"/>
        <v>0</v>
      </c>
      <c r="O46" s="218">
        <f t="shared" si="16"/>
        <v>88088</v>
      </c>
      <c r="P46" s="218">
        <f t="shared" si="16"/>
        <v>85696.6</v>
      </c>
      <c r="Q46" s="218">
        <f t="shared" si="17"/>
        <v>74286.666666666672</v>
      </c>
      <c r="R46" s="218">
        <f t="shared" si="17"/>
        <v>0</v>
      </c>
      <c r="S46" s="218">
        <f t="shared" si="17"/>
        <v>0</v>
      </c>
      <c r="T46" s="218">
        <f t="shared" si="17"/>
        <v>0</v>
      </c>
      <c r="U46" s="218">
        <f t="shared" si="17"/>
        <v>0</v>
      </c>
      <c r="V46" s="218">
        <f t="shared" si="17"/>
        <v>0</v>
      </c>
      <c r="W46" s="218">
        <f t="shared" si="17"/>
        <v>0</v>
      </c>
      <c r="X46" s="218">
        <f t="shared" si="17"/>
        <v>0</v>
      </c>
      <c r="Y46" s="218">
        <f t="shared" si="17"/>
        <v>0</v>
      </c>
      <c r="Z46" s="214">
        <f t="shared" si="18"/>
        <v>248071.26666666666</v>
      </c>
      <c r="AA46" s="218">
        <f t="shared" si="19"/>
        <v>0</v>
      </c>
      <c r="AB46" s="218">
        <f t="shared" si="19"/>
        <v>0</v>
      </c>
      <c r="AC46" s="218">
        <f t="shared" si="19"/>
        <v>120020.70666666665</v>
      </c>
      <c r="AD46" s="218">
        <f t="shared" si="19"/>
        <v>0</v>
      </c>
      <c r="AE46" s="218">
        <f t="shared" si="19"/>
        <v>0</v>
      </c>
      <c r="AF46" s="218">
        <f t="shared" si="19"/>
        <v>0</v>
      </c>
      <c r="AG46" s="218">
        <f t="shared" si="19"/>
        <v>0</v>
      </c>
      <c r="AH46" s="218">
        <f t="shared" si="19"/>
        <v>0</v>
      </c>
      <c r="AI46" s="218">
        <f t="shared" si="19"/>
        <v>0</v>
      </c>
      <c r="AJ46" s="218">
        <f t="shared" si="19"/>
        <v>0</v>
      </c>
      <c r="AK46" s="218">
        <f t="shared" si="20"/>
        <v>0</v>
      </c>
      <c r="AL46" s="218">
        <f t="shared" si="20"/>
        <v>0</v>
      </c>
      <c r="AM46" s="218">
        <f t="shared" si="20"/>
        <v>0</v>
      </c>
      <c r="AN46" s="218">
        <f t="shared" si="20"/>
        <v>0</v>
      </c>
      <c r="AO46" s="218">
        <f t="shared" si="20"/>
        <v>0</v>
      </c>
      <c r="AP46" s="218">
        <f t="shared" si="20"/>
        <v>0</v>
      </c>
      <c r="AQ46" s="218">
        <f t="shared" si="20"/>
        <v>76486.666666666672</v>
      </c>
      <c r="AR46" s="218">
        <f t="shared" si="20"/>
        <v>0</v>
      </c>
      <c r="AS46" s="218">
        <f t="shared" si="20"/>
        <v>0</v>
      </c>
      <c r="AT46" s="218">
        <f t="shared" si="20"/>
        <v>0</v>
      </c>
      <c r="AU46" s="218">
        <f t="shared" si="21"/>
        <v>0</v>
      </c>
      <c r="AV46" s="218">
        <f t="shared" si="21"/>
        <v>0</v>
      </c>
      <c r="AW46" s="218">
        <f t="shared" si="21"/>
        <v>0</v>
      </c>
      <c r="AX46" s="218">
        <f t="shared" si="21"/>
        <v>0</v>
      </c>
      <c r="AY46" s="218">
        <f t="shared" si="21"/>
        <v>0</v>
      </c>
      <c r="AZ46" s="218">
        <f t="shared" si="21"/>
        <v>0</v>
      </c>
      <c r="BA46" s="218">
        <f t="shared" si="21"/>
        <v>0</v>
      </c>
      <c r="BB46" s="218">
        <f t="shared" si="21"/>
        <v>1202.6666666666667</v>
      </c>
      <c r="BC46" s="218">
        <f t="shared" si="21"/>
        <v>0</v>
      </c>
      <c r="BD46" s="218">
        <f t="shared" si="21"/>
        <v>0</v>
      </c>
      <c r="BE46" s="218">
        <f t="shared" si="21"/>
        <v>0</v>
      </c>
      <c r="BF46" s="218">
        <f t="shared" si="21"/>
        <v>0</v>
      </c>
      <c r="BG46" s="218">
        <f t="shared" si="21"/>
        <v>0</v>
      </c>
      <c r="BH46" s="218">
        <f t="shared" si="21"/>
        <v>0</v>
      </c>
      <c r="BI46" s="218">
        <f t="shared" si="21"/>
        <v>0</v>
      </c>
      <c r="BJ46" s="153">
        <f t="shared" si="10"/>
        <v>197710.03999999998</v>
      </c>
      <c r="BK46" s="218">
        <f t="shared" si="22"/>
        <v>0</v>
      </c>
      <c r="BL46" s="218">
        <f t="shared" si="22"/>
        <v>0</v>
      </c>
      <c r="BM46" s="218">
        <f t="shared" si="22"/>
        <v>0</v>
      </c>
      <c r="BN46" s="218">
        <f t="shared" si="22"/>
        <v>0</v>
      </c>
      <c r="BO46" s="218">
        <f t="shared" si="22"/>
        <v>3769.3333333333335</v>
      </c>
      <c r="BP46" s="218">
        <f t="shared" si="22"/>
        <v>0</v>
      </c>
      <c r="BQ46" s="218">
        <f t="shared" si="22"/>
        <v>21574.666666666668</v>
      </c>
      <c r="BR46" s="153">
        <f t="shared" si="23"/>
        <v>25344</v>
      </c>
      <c r="BS46" s="153">
        <f t="shared" si="12"/>
        <v>223054.03999999998</v>
      </c>
      <c r="BT46" s="249">
        <f t="shared" si="13"/>
        <v>515361.29333333333</v>
      </c>
    </row>
    <row r="47" spans="1:72">
      <c r="A47" s="76"/>
      <c r="B47" s="716"/>
      <c r="C47" s="216">
        <v>2016</v>
      </c>
      <c r="D47" s="218">
        <f t="shared" si="14"/>
        <v>0</v>
      </c>
      <c r="E47" s="218">
        <f t="shared" si="14"/>
        <v>44235.986666666671</v>
      </c>
      <c r="F47" s="214">
        <f t="shared" si="15"/>
        <v>44235.986666666671</v>
      </c>
      <c r="G47" s="218">
        <f t="shared" si="16"/>
        <v>0</v>
      </c>
      <c r="H47" s="218">
        <f t="shared" si="16"/>
        <v>0</v>
      </c>
      <c r="I47" s="218">
        <f t="shared" si="16"/>
        <v>0</v>
      </c>
      <c r="J47" s="218">
        <f t="shared" si="16"/>
        <v>0</v>
      </c>
      <c r="K47" s="218">
        <f t="shared" si="16"/>
        <v>0</v>
      </c>
      <c r="L47" s="218">
        <f t="shared" si="16"/>
        <v>0</v>
      </c>
      <c r="M47" s="218">
        <f t="shared" si="16"/>
        <v>0</v>
      </c>
      <c r="N47" s="218">
        <f t="shared" si="16"/>
        <v>0</v>
      </c>
      <c r="O47" s="218">
        <f t="shared" si="16"/>
        <v>88088</v>
      </c>
      <c r="P47" s="218">
        <f t="shared" si="16"/>
        <v>85696.6</v>
      </c>
      <c r="Q47" s="218">
        <f t="shared" si="17"/>
        <v>74286.666666666672</v>
      </c>
      <c r="R47" s="218">
        <f t="shared" si="17"/>
        <v>0</v>
      </c>
      <c r="S47" s="218">
        <f t="shared" si="17"/>
        <v>0</v>
      </c>
      <c r="T47" s="218">
        <f t="shared" si="17"/>
        <v>0</v>
      </c>
      <c r="U47" s="218">
        <f t="shared" si="17"/>
        <v>0</v>
      </c>
      <c r="V47" s="218">
        <f t="shared" si="17"/>
        <v>0</v>
      </c>
      <c r="W47" s="218">
        <f t="shared" si="17"/>
        <v>0</v>
      </c>
      <c r="X47" s="218">
        <f t="shared" si="17"/>
        <v>0</v>
      </c>
      <c r="Y47" s="218">
        <f t="shared" si="17"/>
        <v>0</v>
      </c>
      <c r="Z47" s="214">
        <f t="shared" si="18"/>
        <v>248071.26666666666</v>
      </c>
      <c r="AA47" s="218">
        <f t="shared" si="19"/>
        <v>0</v>
      </c>
      <c r="AB47" s="218">
        <f t="shared" si="19"/>
        <v>0</v>
      </c>
      <c r="AC47" s="218">
        <f t="shared" si="19"/>
        <v>120020.70666666665</v>
      </c>
      <c r="AD47" s="218">
        <f t="shared" si="19"/>
        <v>0</v>
      </c>
      <c r="AE47" s="218">
        <f t="shared" si="19"/>
        <v>0</v>
      </c>
      <c r="AF47" s="218">
        <f t="shared" si="19"/>
        <v>0</v>
      </c>
      <c r="AG47" s="218">
        <f t="shared" si="19"/>
        <v>0</v>
      </c>
      <c r="AH47" s="218">
        <f t="shared" si="19"/>
        <v>0</v>
      </c>
      <c r="AI47" s="218">
        <f t="shared" si="19"/>
        <v>0</v>
      </c>
      <c r="AJ47" s="218">
        <f t="shared" si="19"/>
        <v>0</v>
      </c>
      <c r="AK47" s="218">
        <f t="shared" si="20"/>
        <v>0</v>
      </c>
      <c r="AL47" s="218">
        <f t="shared" si="20"/>
        <v>0</v>
      </c>
      <c r="AM47" s="218">
        <f t="shared" si="20"/>
        <v>0</v>
      </c>
      <c r="AN47" s="218">
        <f t="shared" si="20"/>
        <v>0</v>
      </c>
      <c r="AO47" s="218">
        <f t="shared" si="20"/>
        <v>0</v>
      </c>
      <c r="AP47" s="218">
        <f t="shared" si="20"/>
        <v>0</v>
      </c>
      <c r="AQ47" s="218">
        <f t="shared" si="20"/>
        <v>76486.666666666672</v>
      </c>
      <c r="AR47" s="218">
        <f t="shared" si="20"/>
        <v>0</v>
      </c>
      <c r="AS47" s="218">
        <f t="shared" si="20"/>
        <v>0</v>
      </c>
      <c r="AT47" s="218">
        <f t="shared" si="20"/>
        <v>0</v>
      </c>
      <c r="AU47" s="218">
        <f t="shared" si="21"/>
        <v>0</v>
      </c>
      <c r="AV47" s="218">
        <f t="shared" si="21"/>
        <v>0</v>
      </c>
      <c r="AW47" s="218">
        <f t="shared" si="21"/>
        <v>0</v>
      </c>
      <c r="AX47" s="218">
        <f t="shared" si="21"/>
        <v>0</v>
      </c>
      <c r="AY47" s="218">
        <f t="shared" si="21"/>
        <v>0</v>
      </c>
      <c r="AZ47" s="218">
        <f t="shared" si="21"/>
        <v>0</v>
      </c>
      <c r="BA47" s="218">
        <f t="shared" si="21"/>
        <v>0</v>
      </c>
      <c r="BB47" s="218">
        <f t="shared" si="21"/>
        <v>1202.6666666666667</v>
      </c>
      <c r="BC47" s="218">
        <f t="shared" si="21"/>
        <v>0</v>
      </c>
      <c r="BD47" s="218">
        <f t="shared" si="21"/>
        <v>0</v>
      </c>
      <c r="BE47" s="218">
        <f t="shared" si="21"/>
        <v>0</v>
      </c>
      <c r="BF47" s="218">
        <f t="shared" si="21"/>
        <v>0</v>
      </c>
      <c r="BG47" s="218">
        <f t="shared" si="21"/>
        <v>0</v>
      </c>
      <c r="BH47" s="218">
        <f t="shared" si="21"/>
        <v>0</v>
      </c>
      <c r="BI47" s="218">
        <f t="shared" si="21"/>
        <v>0</v>
      </c>
      <c r="BJ47" s="153">
        <f t="shared" si="10"/>
        <v>197710.03999999998</v>
      </c>
      <c r="BK47" s="218">
        <f t="shared" si="22"/>
        <v>0</v>
      </c>
      <c r="BL47" s="218">
        <f t="shared" si="22"/>
        <v>0</v>
      </c>
      <c r="BM47" s="218">
        <f t="shared" si="22"/>
        <v>0</v>
      </c>
      <c r="BN47" s="218">
        <f t="shared" si="22"/>
        <v>0</v>
      </c>
      <c r="BO47" s="218">
        <f t="shared" si="22"/>
        <v>3769.3333333333335</v>
      </c>
      <c r="BP47" s="218">
        <f t="shared" si="22"/>
        <v>0</v>
      </c>
      <c r="BQ47" s="218">
        <f t="shared" si="22"/>
        <v>21574.666666666668</v>
      </c>
      <c r="BR47" s="153">
        <f t="shared" si="23"/>
        <v>25344</v>
      </c>
      <c r="BS47" s="153">
        <f t="shared" si="12"/>
        <v>223054.03999999998</v>
      </c>
      <c r="BT47" s="249">
        <f t="shared" si="13"/>
        <v>515361.29333333333</v>
      </c>
    </row>
    <row r="48" spans="1:72">
      <c r="A48" s="76"/>
      <c r="B48" s="716"/>
      <c r="C48" s="216">
        <v>2017</v>
      </c>
      <c r="D48" s="218">
        <f t="shared" si="14"/>
        <v>0</v>
      </c>
      <c r="E48" s="218">
        <f t="shared" si="14"/>
        <v>44235.986666666671</v>
      </c>
      <c r="F48" s="214">
        <f t="shared" si="15"/>
        <v>44235.986666666671</v>
      </c>
      <c r="G48" s="218">
        <f t="shared" si="16"/>
        <v>0</v>
      </c>
      <c r="H48" s="218">
        <f t="shared" si="16"/>
        <v>0</v>
      </c>
      <c r="I48" s="218">
        <f t="shared" si="16"/>
        <v>0</v>
      </c>
      <c r="J48" s="218">
        <f t="shared" si="16"/>
        <v>0</v>
      </c>
      <c r="K48" s="218">
        <f t="shared" si="16"/>
        <v>0</v>
      </c>
      <c r="L48" s="218">
        <f t="shared" si="16"/>
        <v>0</v>
      </c>
      <c r="M48" s="218">
        <f t="shared" si="16"/>
        <v>0</v>
      </c>
      <c r="N48" s="218">
        <f t="shared" si="16"/>
        <v>0</v>
      </c>
      <c r="O48" s="218">
        <f t="shared" si="16"/>
        <v>88088</v>
      </c>
      <c r="P48" s="218">
        <f t="shared" si="16"/>
        <v>85696.6</v>
      </c>
      <c r="Q48" s="218">
        <f t="shared" si="17"/>
        <v>74286.666666666672</v>
      </c>
      <c r="R48" s="218">
        <f t="shared" si="17"/>
        <v>0</v>
      </c>
      <c r="S48" s="218">
        <f t="shared" si="17"/>
        <v>0</v>
      </c>
      <c r="T48" s="218">
        <f t="shared" si="17"/>
        <v>0</v>
      </c>
      <c r="U48" s="218">
        <f t="shared" si="17"/>
        <v>0</v>
      </c>
      <c r="V48" s="218">
        <f t="shared" si="17"/>
        <v>0</v>
      </c>
      <c r="W48" s="218">
        <f t="shared" si="17"/>
        <v>0</v>
      </c>
      <c r="X48" s="218">
        <f t="shared" si="17"/>
        <v>0</v>
      </c>
      <c r="Y48" s="218">
        <f t="shared" si="17"/>
        <v>0</v>
      </c>
      <c r="Z48" s="214">
        <f t="shared" si="18"/>
        <v>248071.26666666666</v>
      </c>
      <c r="AA48" s="218">
        <f t="shared" si="19"/>
        <v>0</v>
      </c>
      <c r="AB48" s="218">
        <f t="shared" si="19"/>
        <v>0</v>
      </c>
      <c r="AC48" s="218">
        <f t="shared" si="19"/>
        <v>120020.70666666665</v>
      </c>
      <c r="AD48" s="218">
        <f t="shared" si="19"/>
        <v>0</v>
      </c>
      <c r="AE48" s="218">
        <f t="shared" si="19"/>
        <v>0</v>
      </c>
      <c r="AF48" s="218">
        <f t="shared" si="19"/>
        <v>0</v>
      </c>
      <c r="AG48" s="218">
        <f t="shared" si="19"/>
        <v>0</v>
      </c>
      <c r="AH48" s="218">
        <f t="shared" si="19"/>
        <v>0</v>
      </c>
      <c r="AI48" s="218">
        <f t="shared" si="19"/>
        <v>0</v>
      </c>
      <c r="AJ48" s="218">
        <f t="shared" si="19"/>
        <v>0</v>
      </c>
      <c r="AK48" s="218">
        <f t="shared" si="20"/>
        <v>0</v>
      </c>
      <c r="AL48" s="218">
        <f t="shared" si="20"/>
        <v>0</v>
      </c>
      <c r="AM48" s="218">
        <f t="shared" si="20"/>
        <v>0</v>
      </c>
      <c r="AN48" s="218">
        <f t="shared" si="20"/>
        <v>0</v>
      </c>
      <c r="AO48" s="218">
        <f t="shared" si="20"/>
        <v>0</v>
      </c>
      <c r="AP48" s="218">
        <f t="shared" si="20"/>
        <v>0</v>
      </c>
      <c r="AQ48" s="218">
        <f t="shared" si="20"/>
        <v>76486.666666666672</v>
      </c>
      <c r="AR48" s="218">
        <f t="shared" si="20"/>
        <v>0</v>
      </c>
      <c r="AS48" s="218">
        <f t="shared" si="20"/>
        <v>0</v>
      </c>
      <c r="AT48" s="218">
        <f t="shared" si="20"/>
        <v>0</v>
      </c>
      <c r="AU48" s="218">
        <f t="shared" si="21"/>
        <v>0</v>
      </c>
      <c r="AV48" s="218">
        <f t="shared" si="21"/>
        <v>0</v>
      </c>
      <c r="AW48" s="218">
        <f t="shared" si="21"/>
        <v>0</v>
      </c>
      <c r="AX48" s="218">
        <f t="shared" si="21"/>
        <v>0</v>
      </c>
      <c r="AY48" s="218">
        <f t="shared" si="21"/>
        <v>0</v>
      </c>
      <c r="AZ48" s="218">
        <f t="shared" si="21"/>
        <v>0</v>
      </c>
      <c r="BA48" s="218">
        <f t="shared" si="21"/>
        <v>0</v>
      </c>
      <c r="BB48" s="218">
        <f t="shared" si="21"/>
        <v>1202.6666666666667</v>
      </c>
      <c r="BC48" s="218">
        <f t="shared" si="21"/>
        <v>0</v>
      </c>
      <c r="BD48" s="218">
        <f t="shared" si="21"/>
        <v>0</v>
      </c>
      <c r="BE48" s="218">
        <f t="shared" si="21"/>
        <v>0</v>
      </c>
      <c r="BF48" s="218">
        <f t="shared" si="21"/>
        <v>0</v>
      </c>
      <c r="BG48" s="218">
        <f t="shared" si="21"/>
        <v>0</v>
      </c>
      <c r="BH48" s="218">
        <f t="shared" si="21"/>
        <v>0</v>
      </c>
      <c r="BI48" s="218">
        <f t="shared" si="21"/>
        <v>0</v>
      </c>
      <c r="BJ48" s="153">
        <f t="shared" si="10"/>
        <v>197710.03999999998</v>
      </c>
      <c r="BK48" s="218">
        <f t="shared" si="22"/>
        <v>0</v>
      </c>
      <c r="BL48" s="218">
        <f t="shared" si="22"/>
        <v>0</v>
      </c>
      <c r="BM48" s="218">
        <f t="shared" si="22"/>
        <v>0</v>
      </c>
      <c r="BN48" s="218">
        <f t="shared" si="22"/>
        <v>0</v>
      </c>
      <c r="BO48" s="218">
        <f t="shared" si="22"/>
        <v>3769.3333333333335</v>
      </c>
      <c r="BP48" s="218">
        <f t="shared" si="22"/>
        <v>0</v>
      </c>
      <c r="BQ48" s="218">
        <f t="shared" si="22"/>
        <v>21574.666666666668</v>
      </c>
      <c r="BR48" s="153">
        <f t="shared" si="23"/>
        <v>25344</v>
      </c>
      <c r="BS48" s="153">
        <f t="shared" si="12"/>
        <v>223054.03999999998</v>
      </c>
      <c r="BT48" s="249">
        <f t="shared" si="13"/>
        <v>515361.29333333333</v>
      </c>
    </row>
    <row r="49" spans="1:72">
      <c r="A49" s="76"/>
      <c r="B49" s="716"/>
      <c r="C49" s="216">
        <v>2018</v>
      </c>
      <c r="D49" s="218">
        <f t="shared" si="14"/>
        <v>0</v>
      </c>
      <c r="E49" s="218">
        <f t="shared" si="14"/>
        <v>44235.986666666671</v>
      </c>
      <c r="F49" s="214">
        <f t="shared" si="15"/>
        <v>44235.986666666671</v>
      </c>
      <c r="G49" s="218">
        <f t="shared" si="16"/>
        <v>0</v>
      </c>
      <c r="H49" s="218">
        <f t="shared" si="16"/>
        <v>0</v>
      </c>
      <c r="I49" s="218">
        <f t="shared" si="16"/>
        <v>0</v>
      </c>
      <c r="J49" s="218">
        <f t="shared" si="16"/>
        <v>0</v>
      </c>
      <c r="K49" s="218">
        <f t="shared" si="16"/>
        <v>0</v>
      </c>
      <c r="L49" s="218">
        <f t="shared" si="16"/>
        <v>0</v>
      </c>
      <c r="M49" s="218">
        <f t="shared" si="16"/>
        <v>0</v>
      </c>
      <c r="N49" s="218">
        <f t="shared" si="16"/>
        <v>0</v>
      </c>
      <c r="O49" s="218">
        <f t="shared" si="16"/>
        <v>88088</v>
      </c>
      <c r="P49" s="218">
        <f t="shared" si="16"/>
        <v>85696.6</v>
      </c>
      <c r="Q49" s="218">
        <f t="shared" si="17"/>
        <v>74286.666666666672</v>
      </c>
      <c r="R49" s="218">
        <f t="shared" si="17"/>
        <v>0</v>
      </c>
      <c r="S49" s="218">
        <f t="shared" si="17"/>
        <v>0</v>
      </c>
      <c r="T49" s="218">
        <f t="shared" si="17"/>
        <v>0</v>
      </c>
      <c r="U49" s="218">
        <f t="shared" si="17"/>
        <v>0</v>
      </c>
      <c r="V49" s="218">
        <f t="shared" si="17"/>
        <v>0</v>
      </c>
      <c r="W49" s="218">
        <f t="shared" si="17"/>
        <v>0</v>
      </c>
      <c r="X49" s="218">
        <f t="shared" si="17"/>
        <v>0</v>
      </c>
      <c r="Y49" s="218">
        <f t="shared" si="17"/>
        <v>0</v>
      </c>
      <c r="Z49" s="214">
        <f t="shared" si="18"/>
        <v>248071.26666666666</v>
      </c>
      <c r="AA49" s="218">
        <f t="shared" si="19"/>
        <v>0</v>
      </c>
      <c r="AB49" s="218">
        <f t="shared" si="19"/>
        <v>0</v>
      </c>
      <c r="AC49" s="218">
        <f t="shared" si="19"/>
        <v>120020.70666666665</v>
      </c>
      <c r="AD49" s="218">
        <f t="shared" si="19"/>
        <v>0</v>
      </c>
      <c r="AE49" s="218">
        <f t="shared" si="19"/>
        <v>0</v>
      </c>
      <c r="AF49" s="218">
        <f t="shared" si="19"/>
        <v>0</v>
      </c>
      <c r="AG49" s="218">
        <f t="shared" si="19"/>
        <v>0</v>
      </c>
      <c r="AH49" s="218">
        <f t="shared" si="19"/>
        <v>0</v>
      </c>
      <c r="AI49" s="218">
        <f t="shared" si="19"/>
        <v>0</v>
      </c>
      <c r="AJ49" s="218">
        <f t="shared" si="19"/>
        <v>0</v>
      </c>
      <c r="AK49" s="218">
        <f t="shared" si="20"/>
        <v>0</v>
      </c>
      <c r="AL49" s="218">
        <f t="shared" si="20"/>
        <v>0</v>
      </c>
      <c r="AM49" s="218">
        <f t="shared" si="20"/>
        <v>0</v>
      </c>
      <c r="AN49" s="218">
        <f t="shared" si="20"/>
        <v>0</v>
      </c>
      <c r="AO49" s="218">
        <f t="shared" si="20"/>
        <v>0</v>
      </c>
      <c r="AP49" s="218">
        <f t="shared" si="20"/>
        <v>0</v>
      </c>
      <c r="AQ49" s="218">
        <f t="shared" si="20"/>
        <v>76486.666666666672</v>
      </c>
      <c r="AR49" s="218">
        <f t="shared" si="20"/>
        <v>0</v>
      </c>
      <c r="AS49" s="218">
        <f t="shared" si="20"/>
        <v>0</v>
      </c>
      <c r="AT49" s="218">
        <f t="shared" si="20"/>
        <v>0</v>
      </c>
      <c r="AU49" s="218">
        <f t="shared" si="21"/>
        <v>0</v>
      </c>
      <c r="AV49" s="218">
        <f t="shared" si="21"/>
        <v>0</v>
      </c>
      <c r="AW49" s="218">
        <f t="shared" si="21"/>
        <v>0</v>
      </c>
      <c r="AX49" s="218">
        <f t="shared" si="21"/>
        <v>0</v>
      </c>
      <c r="AY49" s="218">
        <f t="shared" si="21"/>
        <v>0</v>
      </c>
      <c r="AZ49" s="218">
        <f t="shared" si="21"/>
        <v>0</v>
      </c>
      <c r="BA49" s="218">
        <f t="shared" si="21"/>
        <v>0</v>
      </c>
      <c r="BB49" s="218">
        <f t="shared" si="21"/>
        <v>1202.6666666666667</v>
      </c>
      <c r="BC49" s="218">
        <f t="shared" si="21"/>
        <v>0</v>
      </c>
      <c r="BD49" s="218">
        <f t="shared" si="21"/>
        <v>0</v>
      </c>
      <c r="BE49" s="218">
        <f t="shared" si="21"/>
        <v>0</v>
      </c>
      <c r="BF49" s="218">
        <f t="shared" si="21"/>
        <v>0</v>
      </c>
      <c r="BG49" s="218">
        <f t="shared" si="21"/>
        <v>0</v>
      </c>
      <c r="BH49" s="218">
        <f t="shared" si="21"/>
        <v>0</v>
      </c>
      <c r="BI49" s="218">
        <f t="shared" si="21"/>
        <v>0</v>
      </c>
      <c r="BJ49" s="153">
        <f t="shared" si="10"/>
        <v>197710.03999999998</v>
      </c>
      <c r="BK49" s="218">
        <f t="shared" si="22"/>
        <v>0</v>
      </c>
      <c r="BL49" s="218">
        <f t="shared" si="22"/>
        <v>0</v>
      </c>
      <c r="BM49" s="218">
        <f t="shared" si="22"/>
        <v>0</v>
      </c>
      <c r="BN49" s="218">
        <f t="shared" si="22"/>
        <v>0</v>
      </c>
      <c r="BO49" s="218">
        <f t="shared" si="22"/>
        <v>3769.3333333333335</v>
      </c>
      <c r="BP49" s="218">
        <f t="shared" si="22"/>
        <v>0</v>
      </c>
      <c r="BQ49" s="218">
        <f t="shared" si="22"/>
        <v>21574.666666666668</v>
      </c>
      <c r="BR49" s="153">
        <f t="shared" si="23"/>
        <v>25344</v>
      </c>
      <c r="BS49" s="153">
        <f t="shared" si="12"/>
        <v>223054.03999999998</v>
      </c>
      <c r="BT49" s="249">
        <f t="shared" si="13"/>
        <v>515361.29333333333</v>
      </c>
    </row>
    <row r="50" spans="1:72">
      <c r="A50" s="76"/>
      <c r="B50" s="716"/>
      <c r="C50" s="216">
        <v>2019</v>
      </c>
      <c r="D50" s="218">
        <f t="shared" si="14"/>
        <v>0</v>
      </c>
      <c r="E50" s="218">
        <f t="shared" si="14"/>
        <v>44235.986666666671</v>
      </c>
      <c r="F50" s="214">
        <f t="shared" si="15"/>
        <v>44235.986666666671</v>
      </c>
      <c r="G50" s="218">
        <f t="shared" si="16"/>
        <v>0</v>
      </c>
      <c r="H50" s="218">
        <f t="shared" si="16"/>
        <v>0</v>
      </c>
      <c r="I50" s="218">
        <f t="shared" si="16"/>
        <v>0</v>
      </c>
      <c r="J50" s="218">
        <f t="shared" si="16"/>
        <v>0</v>
      </c>
      <c r="K50" s="218">
        <f t="shared" si="16"/>
        <v>0</v>
      </c>
      <c r="L50" s="218">
        <f t="shared" si="16"/>
        <v>0</v>
      </c>
      <c r="M50" s="218">
        <f t="shared" si="16"/>
        <v>0</v>
      </c>
      <c r="N50" s="218">
        <f t="shared" si="16"/>
        <v>0</v>
      </c>
      <c r="O50" s="218">
        <f t="shared" si="16"/>
        <v>88088</v>
      </c>
      <c r="P50" s="218">
        <f t="shared" si="16"/>
        <v>85696.6</v>
      </c>
      <c r="Q50" s="218">
        <f t="shared" si="17"/>
        <v>74286.666666666672</v>
      </c>
      <c r="R50" s="218">
        <f t="shared" si="17"/>
        <v>0</v>
      </c>
      <c r="S50" s="218">
        <f t="shared" si="17"/>
        <v>0</v>
      </c>
      <c r="T50" s="218">
        <f t="shared" si="17"/>
        <v>0</v>
      </c>
      <c r="U50" s="218">
        <f t="shared" si="17"/>
        <v>0</v>
      </c>
      <c r="V50" s="218">
        <f t="shared" si="17"/>
        <v>0</v>
      </c>
      <c r="W50" s="218">
        <f t="shared" si="17"/>
        <v>0</v>
      </c>
      <c r="X50" s="218">
        <f t="shared" si="17"/>
        <v>0</v>
      </c>
      <c r="Y50" s="218">
        <f t="shared" si="17"/>
        <v>0</v>
      </c>
      <c r="Z50" s="214">
        <f t="shared" si="18"/>
        <v>248071.26666666666</v>
      </c>
      <c r="AA50" s="218">
        <f t="shared" si="19"/>
        <v>0</v>
      </c>
      <c r="AB50" s="218">
        <f t="shared" si="19"/>
        <v>0</v>
      </c>
      <c r="AC50" s="218">
        <f t="shared" si="19"/>
        <v>120020.70666666665</v>
      </c>
      <c r="AD50" s="218">
        <f t="shared" si="19"/>
        <v>0</v>
      </c>
      <c r="AE50" s="218">
        <f t="shared" si="19"/>
        <v>0</v>
      </c>
      <c r="AF50" s="218">
        <f t="shared" si="19"/>
        <v>0</v>
      </c>
      <c r="AG50" s="218">
        <f t="shared" si="19"/>
        <v>0</v>
      </c>
      <c r="AH50" s="218">
        <f t="shared" si="19"/>
        <v>0</v>
      </c>
      <c r="AI50" s="218">
        <f t="shared" si="19"/>
        <v>0</v>
      </c>
      <c r="AJ50" s="218">
        <f t="shared" si="19"/>
        <v>0</v>
      </c>
      <c r="AK50" s="218">
        <f t="shared" si="20"/>
        <v>0</v>
      </c>
      <c r="AL50" s="218">
        <f t="shared" si="20"/>
        <v>0</v>
      </c>
      <c r="AM50" s="218">
        <f t="shared" si="20"/>
        <v>0</v>
      </c>
      <c r="AN50" s="218">
        <f t="shared" si="20"/>
        <v>0</v>
      </c>
      <c r="AO50" s="218">
        <f t="shared" si="20"/>
        <v>0</v>
      </c>
      <c r="AP50" s="218">
        <f t="shared" si="20"/>
        <v>0</v>
      </c>
      <c r="AQ50" s="218">
        <f t="shared" si="20"/>
        <v>76486.666666666672</v>
      </c>
      <c r="AR50" s="218">
        <f t="shared" si="20"/>
        <v>0</v>
      </c>
      <c r="AS50" s="218">
        <f t="shared" si="20"/>
        <v>0</v>
      </c>
      <c r="AT50" s="218">
        <f t="shared" si="20"/>
        <v>0</v>
      </c>
      <c r="AU50" s="218">
        <f t="shared" si="21"/>
        <v>0</v>
      </c>
      <c r="AV50" s="218">
        <f t="shared" si="21"/>
        <v>0</v>
      </c>
      <c r="AW50" s="218">
        <f t="shared" si="21"/>
        <v>0</v>
      </c>
      <c r="AX50" s="218">
        <f t="shared" si="21"/>
        <v>0</v>
      </c>
      <c r="AY50" s="218">
        <f t="shared" si="21"/>
        <v>0</v>
      </c>
      <c r="AZ50" s="218">
        <f t="shared" si="21"/>
        <v>0</v>
      </c>
      <c r="BA50" s="218">
        <f t="shared" si="21"/>
        <v>0</v>
      </c>
      <c r="BB50" s="218">
        <f t="shared" si="21"/>
        <v>1202.6666666666667</v>
      </c>
      <c r="BC50" s="218">
        <f t="shared" si="21"/>
        <v>0</v>
      </c>
      <c r="BD50" s="218">
        <f t="shared" si="21"/>
        <v>0</v>
      </c>
      <c r="BE50" s="218">
        <f t="shared" si="21"/>
        <v>0</v>
      </c>
      <c r="BF50" s="218">
        <f t="shared" si="21"/>
        <v>0</v>
      </c>
      <c r="BG50" s="218">
        <f t="shared" si="21"/>
        <v>0</v>
      </c>
      <c r="BH50" s="218">
        <f t="shared" si="21"/>
        <v>0</v>
      </c>
      <c r="BI50" s="218">
        <f t="shared" si="21"/>
        <v>0</v>
      </c>
      <c r="BJ50" s="153">
        <f t="shared" si="10"/>
        <v>197710.03999999998</v>
      </c>
      <c r="BK50" s="218">
        <f t="shared" si="22"/>
        <v>0</v>
      </c>
      <c r="BL50" s="218">
        <f t="shared" si="22"/>
        <v>0</v>
      </c>
      <c r="BM50" s="218">
        <f t="shared" si="22"/>
        <v>0</v>
      </c>
      <c r="BN50" s="218">
        <f t="shared" si="22"/>
        <v>0</v>
      </c>
      <c r="BO50" s="218">
        <f t="shared" si="22"/>
        <v>3769.3333333333335</v>
      </c>
      <c r="BP50" s="218">
        <f t="shared" si="22"/>
        <v>0</v>
      </c>
      <c r="BQ50" s="218">
        <f t="shared" si="22"/>
        <v>21574.666666666668</v>
      </c>
      <c r="BR50" s="153">
        <f t="shared" si="23"/>
        <v>25344</v>
      </c>
      <c r="BS50" s="153">
        <f t="shared" si="12"/>
        <v>223054.03999999998</v>
      </c>
      <c r="BT50" s="249">
        <f t="shared" si="13"/>
        <v>515361.29333333333</v>
      </c>
    </row>
    <row r="51" spans="1:72" ht="12.75" customHeight="1" thickBot="1">
      <c r="A51" s="76"/>
      <c r="B51" s="717"/>
      <c r="C51" s="224">
        <v>2020</v>
      </c>
      <c r="D51" s="225">
        <f t="shared" si="14"/>
        <v>0</v>
      </c>
      <c r="E51" s="225">
        <f t="shared" si="14"/>
        <v>44235.986666666671</v>
      </c>
      <c r="F51" s="226">
        <f t="shared" si="15"/>
        <v>44235.986666666671</v>
      </c>
      <c r="G51" s="225">
        <f t="shared" si="16"/>
        <v>0</v>
      </c>
      <c r="H51" s="225">
        <f t="shared" si="16"/>
        <v>0</v>
      </c>
      <c r="I51" s="225">
        <f t="shared" si="16"/>
        <v>0</v>
      </c>
      <c r="J51" s="225">
        <f t="shared" si="16"/>
        <v>0</v>
      </c>
      <c r="K51" s="225">
        <f t="shared" si="16"/>
        <v>0</v>
      </c>
      <c r="L51" s="225">
        <f t="shared" si="16"/>
        <v>0</v>
      </c>
      <c r="M51" s="225">
        <f t="shared" si="16"/>
        <v>0</v>
      </c>
      <c r="N51" s="225">
        <f t="shared" si="16"/>
        <v>0</v>
      </c>
      <c r="O51" s="225">
        <f t="shared" si="16"/>
        <v>88088</v>
      </c>
      <c r="P51" s="225">
        <f t="shared" si="16"/>
        <v>85696.6</v>
      </c>
      <c r="Q51" s="225">
        <f t="shared" si="17"/>
        <v>74286.666666666672</v>
      </c>
      <c r="R51" s="225">
        <f t="shared" si="17"/>
        <v>0</v>
      </c>
      <c r="S51" s="225">
        <f t="shared" si="17"/>
        <v>0</v>
      </c>
      <c r="T51" s="225">
        <f t="shared" si="17"/>
        <v>0</v>
      </c>
      <c r="U51" s="225">
        <f t="shared" si="17"/>
        <v>0</v>
      </c>
      <c r="V51" s="225">
        <f t="shared" si="17"/>
        <v>0</v>
      </c>
      <c r="W51" s="225">
        <f t="shared" si="17"/>
        <v>0</v>
      </c>
      <c r="X51" s="225">
        <f t="shared" si="17"/>
        <v>0</v>
      </c>
      <c r="Y51" s="225">
        <f t="shared" si="17"/>
        <v>0</v>
      </c>
      <c r="Z51" s="226">
        <f t="shared" si="18"/>
        <v>248071.26666666666</v>
      </c>
      <c r="AA51" s="225">
        <f t="shared" si="19"/>
        <v>0</v>
      </c>
      <c r="AB51" s="225">
        <f t="shared" si="19"/>
        <v>0</v>
      </c>
      <c r="AC51" s="225">
        <f t="shared" si="19"/>
        <v>120020.70666666665</v>
      </c>
      <c r="AD51" s="225">
        <f t="shared" si="19"/>
        <v>0</v>
      </c>
      <c r="AE51" s="225">
        <f t="shared" si="19"/>
        <v>0</v>
      </c>
      <c r="AF51" s="225">
        <f t="shared" si="19"/>
        <v>0</v>
      </c>
      <c r="AG51" s="225">
        <f t="shared" si="19"/>
        <v>0</v>
      </c>
      <c r="AH51" s="225">
        <f t="shared" si="19"/>
        <v>0</v>
      </c>
      <c r="AI51" s="225">
        <f t="shared" si="19"/>
        <v>0</v>
      </c>
      <c r="AJ51" s="225">
        <f t="shared" si="19"/>
        <v>0</v>
      </c>
      <c r="AK51" s="225">
        <f t="shared" si="20"/>
        <v>0</v>
      </c>
      <c r="AL51" s="225">
        <f t="shared" si="20"/>
        <v>0</v>
      </c>
      <c r="AM51" s="225">
        <f t="shared" si="20"/>
        <v>0</v>
      </c>
      <c r="AN51" s="225">
        <f t="shared" si="20"/>
        <v>0</v>
      </c>
      <c r="AO51" s="225">
        <f t="shared" si="20"/>
        <v>0</v>
      </c>
      <c r="AP51" s="225">
        <f t="shared" si="20"/>
        <v>0</v>
      </c>
      <c r="AQ51" s="225">
        <f t="shared" si="20"/>
        <v>76486.666666666672</v>
      </c>
      <c r="AR51" s="225">
        <f t="shared" si="20"/>
        <v>0</v>
      </c>
      <c r="AS51" s="225">
        <f t="shared" si="20"/>
        <v>0</v>
      </c>
      <c r="AT51" s="225">
        <f t="shared" si="20"/>
        <v>0</v>
      </c>
      <c r="AU51" s="225">
        <f t="shared" si="21"/>
        <v>0</v>
      </c>
      <c r="AV51" s="225">
        <f t="shared" si="21"/>
        <v>0</v>
      </c>
      <c r="AW51" s="225">
        <f t="shared" si="21"/>
        <v>0</v>
      </c>
      <c r="AX51" s="225">
        <f t="shared" si="21"/>
        <v>0</v>
      </c>
      <c r="AY51" s="225">
        <f t="shared" si="21"/>
        <v>0</v>
      </c>
      <c r="AZ51" s="225">
        <f t="shared" si="21"/>
        <v>0</v>
      </c>
      <c r="BA51" s="225">
        <f t="shared" si="21"/>
        <v>0</v>
      </c>
      <c r="BB51" s="225">
        <f t="shared" si="21"/>
        <v>1202.6666666666667</v>
      </c>
      <c r="BC51" s="225">
        <f t="shared" si="21"/>
        <v>0</v>
      </c>
      <c r="BD51" s="225">
        <f t="shared" si="21"/>
        <v>0</v>
      </c>
      <c r="BE51" s="225">
        <f t="shared" si="21"/>
        <v>0</v>
      </c>
      <c r="BF51" s="225">
        <f t="shared" si="21"/>
        <v>0</v>
      </c>
      <c r="BG51" s="225">
        <f t="shared" si="21"/>
        <v>0</v>
      </c>
      <c r="BH51" s="225">
        <f t="shared" si="21"/>
        <v>0</v>
      </c>
      <c r="BI51" s="225">
        <f t="shared" si="21"/>
        <v>0</v>
      </c>
      <c r="BJ51" s="241">
        <f t="shared" si="10"/>
        <v>197710.03999999998</v>
      </c>
      <c r="BK51" s="225">
        <f t="shared" si="22"/>
        <v>0</v>
      </c>
      <c r="BL51" s="225">
        <f t="shared" si="22"/>
        <v>0</v>
      </c>
      <c r="BM51" s="225">
        <f t="shared" si="22"/>
        <v>0</v>
      </c>
      <c r="BN51" s="225">
        <f t="shared" si="22"/>
        <v>0</v>
      </c>
      <c r="BO51" s="225">
        <f t="shared" si="22"/>
        <v>3769.3333333333335</v>
      </c>
      <c r="BP51" s="225">
        <f t="shared" si="22"/>
        <v>0</v>
      </c>
      <c r="BQ51" s="225">
        <f t="shared" si="22"/>
        <v>21574.666666666668</v>
      </c>
      <c r="BR51" s="241">
        <f t="shared" si="23"/>
        <v>25344</v>
      </c>
      <c r="BS51" s="241">
        <f t="shared" si="12"/>
        <v>223054.03999999998</v>
      </c>
      <c r="BT51" s="250">
        <f t="shared" si="13"/>
        <v>515361.29333333333</v>
      </c>
    </row>
    <row r="52" spans="1:72" ht="15.75" customHeight="1" thickTop="1">
      <c r="A52" s="76"/>
      <c r="B52" s="715" t="s">
        <v>832</v>
      </c>
      <c r="C52" s="220">
        <v>2009</v>
      </c>
      <c r="D52" s="218">
        <f t="shared" ref="D52:E63" si="24">IF(D$26&gt;0,D28*$C$9*$C$8/$C$6,0)*D$25</f>
        <v>28110.896000000001</v>
      </c>
      <c r="E52" s="218">
        <f t="shared" si="24"/>
        <v>0</v>
      </c>
      <c r="F52" s="222">
        <f>SUM(D52:E52)</f>
        <v>28110.896000000001</v>
      </c>
      <c r="G52" s="218">
        <f t="shared" ref="G52:Y52" si="25">IF(G$26&gt;0,G28*$C$9*$C$8/$C$6,0)*G$25</f>
        <v>31632.083999999995</v>
      </c>
      <c r="H52" s="218">
        <f t="shared" si="25"/>
        <v>34751.552000000003</v>
      </c>
      <c r="I52" s="218">
        <f t="shared" si="25"/>
        <v>33885.5</v>
      </c>
      <c r="J52" s="218">
        <f t="shared" si="25"/>
        <v>33884.400000000001</v>
      </c>
      <c r="K52" s="218">
        <f t="shared" si="25"/>
        <v>30245.599999999999</v>
      </c>
      <c r="L52" s="218">
        <f t="shared" si="25"/>
        <v>30013.588</v>
      </c>
      <c r="M52" s="218">
        <f t="shared" si="25"/>
        <v>22867.02</v>
      </c>
      <c r="N52" s="218">
        <f t="shared" si="25"/>
        <v>30245.599999999999</v>
      </c>
      <c r="O52" s="218">
        <f t="shared" si="25"/>
        <v>26426.400000000001</v>
      </c>
      <c r="P52" s="218">
        <f t="shared" si="25"/>
        <v>0</v>
      </c>
      <c r="Q52" s="218">
        <f t="shared" si="25"/>
        <v>0</v>
      </c>
      <c r="R52" s="218">
        <f t="shared" si="25"/>
        <v>0</v>
      </c>
      <c r="S52" s="218">
        <f t="shared" si="25"/>
        <v>0</v>
      </c>
      <c r="T52" s="218">
        <f t="shared" si="25"/>
        <v>0</v>
      </c>
      <c r="U52" s="218">
        <f t="shared" si="25"/>
        <v>0</v>
      </c>
      <c r="V52" s="218">
        <f t="shared" si="25"/>
        <v>0</v>
      </c>
      <c r="W52" s="218">
        <f t="shared" si="25"/>
        <v>0</v>
      </c>
      <c r="X52" s="218">
        <f t="shared" si="25"/>
        <v>0</v>
      </c>
      <c r="Y52" s="218">
        <f t="shared" si="25"/>
        <v>0</v>
      </c>
      <c r="Z52" s="222">
        <f>SUM(G52:Y52)</f>
        <v>273951.74400000001</v>
      </c>
      <c r="AA52" s="218">
        <f t="shared" ref="AA52:BI52" si="26">IF(AA$26&gt;0,AA28*$C$9*$C$8/$C$6,0)*AA$25</f>
        <v>1320</v>
      </c>
      <c r="AB52" s="218">
        <f t="shared" si="26"/>
        <v>0</v>
      </c>
      <c r="AC52" s="218">
        <f t="shared" si="26"/>
        <v>0</v>
      </c>
      <c r="AD52" s="218">
        <f t="shared" si="26"/>
        <v>0</v>
      </c>
      <c r="AE52" s="218">
        <f t="shared" si="26"/>
        <v>6625.1239999999998</v>
      </c>
      <c r="AF52" s="218">
        <f t="shared" si="26"/>
        <v>6625.1239999999998</v>
      </c>
      <c r="AG52" s="218">
        <f t="shared" si="26"/>
        <v>6792.3680000000004</v>
      </c>
      <c r="AH52" s="218">
        <f t="shared" si="26"/>
        <v>6625.1239999999998</v>
      </c>
      <c r="AI52" s="218">
        <f t="shared" si="26"/>
        <v>19173.483999999997</v>
      </c>
      <c r="AJ52" s="218">
        <f t="shared" si="26"/>
        <v>0</v>
      </c>
      <c r="AK52" s="218">
        <f t="shared" si="26"/>
        <v>0</v>
      </c>
      <c r="AL52" s="218">
        <f t="shared" si="26"/>
        <v>0</v>
      </c>
      <c r="AM52" s="218">
        <f t="shared" si="26"/>
        <v>0</v>
      </c>
      <c r="AN52" s="218">
        <f t="shared" si="26"/>
        <v>0</v>
      </c>
      <c r="AO52" s="218">
        <f t="shared" si="26"/>
        <v>0</v>
      </c>
      <c r="AP52" s="218">
        <f t="shared" si="26"/>
        <v>0</v>
      </c>
      <c r="AQ52" s="218">
        <f t="shared" si="26"/>
        <v>0</v>
      </c>
      <c r="AR52" s="218">
        <f t="shared" si="26"/>
        <v>0</v>
      </c>
      <c r="AS52" s="218">
        <f t="shared" si="26"/>
        <v>14455.76</v>
      </c>
      <c r="AT52" s="218">
        <f t="shared" si="26"/>
        <v>16060.967999999997</v>
      </c>
      <c r="AU52" s="218">
        <f t="shared" si="26"/>
        <v>5593.5</v>
      </c>
      <c r="AV52" s="218">
        <f t="shared" si="26"/>
        <v>0</v>
      </c>
      <c r="AW52" s="218">
        <f t="shared" si="26"/>
        <v>0</v>
      </c>
      <c r="AX52" s="218">
        <f t="shared" si="26"/>
        <v>0</v>
      </c>
      <c r="AY52" s="218">
        <f t="shared" si="26"/>
        <v>15428.644</v>
      </c>
      <c r="AZ52" s="218">
        <f t="shared" si="26"/>
        <v>0</v>
      </c>
      <c r="BA52" s="218">
        <f t="shared" si="26"/>
        <v>0</v>
      </c>
      <c r="BB52" s="218">
        <f t="shared" si="26"/>
        <v>0</v>
      </c>
      <c r="BC52" s="218">
        <f t="shared" si="26"/>
        <v>8878.5730000000003</v>
      </c>
      <c r="BD52" s="218">
        <f t="shared" si="26"/>
        <v>9217.4279999999981</v>
      </c>
      <c r="BE52" s="218">
        <f t="shared" si="26"/>
        <v>3100.328</v>
      </c>
      <c r="BF52" s="218">
        <f t="shared" si="26"/>
        <v>24257.683999999997</v>
      </c>
      <c r="BG52" s="218">
        <f t="shared" si="26"/>
        <v>0</v>
      </c>
      <c r="BH52" s="218">
        <f t="shared" si="26"/>
        <v>0</v>
      </c>
      <c r="BI52" s="218">
        <f t="shared" si="26"/>
        <v>0</v>
      </c>
      <c r="BJ52" s="240">
        <f t="shared" ref="BJ52:BJ63" si="27">SUM(AA52:BI52)</f>
        <v>144154.109</v>
      </c>
      <c r="BK52" s="218">
        <f t="shared" ref="BK52:BQ63" si="28">IF(BK$26&gt;0,BK28*$C$9*$C$8/$C$6,0)*BK$25</f>
        <v>30774.568000000003</v>
      </c>
      <c r="BL52" s="218">
        <f t="shared" si="28"/>
        <v>25212</v>
      </c>
      <c r="BM52" s="218">
        <f t="shared" si="28"/>
        <v>18502.307999999997</v>
      </c>
      <c r="BN52" s="218">
        <f t="shared" si="28"/>
        <v>31910.164000000001</v>
      </c>
      <c r="BO52" s="218">
        <f t="shared" si="28"/>
        <v>0</v>
      </c>
      <c r="BP52" s="218">
        <f t="shared" si="28"/>
        <v>0</v>
      </c>
      <c r="BQ52" s="218">
        <f t="shared" si="28"/>
        <v>0</v>
      </c>
      <c r="BR52" s="240">
        <f t="shared" ref="BR52:BR63" si="29">SUM(BK52:BQ52)</f>
        <v>106399.03999999999</v>
      </c>
      <c r="BS52" s="240">
        <f t="shared" ref="BS52:BS63" si="30">BJ52+BR52</f>
        <v>250553.14899999998</v>
      </c>
      <c r="BT52" s="248">
        <f t="shared" ref="BT52:BT63" si="31">F52+Z52+BS52</f>
        <v>552615.78899999999</v>
      </c>
    </row>
    <row r="53" spans="1:72">
      <c r="A53" s="76"/>
      <c r="B53" s="716"/>
      <c r="C53" s="216">
        <v>2010</v>
      </c>
      <c r="D53" s="218">
        <f t="shared" si="24"/>
        <v>28110.896000000001</v>
      </c>
      <c r="E53" s="218">
        <f t="shared" si="24"/>
        <v>0</v>
      </c>
      <c r="F53" s="214">
        <f t="shared" ref="F53:F63" si="32">SUM(D53:E53)</f>
        <v>28110.896000000001</v>
      </c>
      <c r="G53" s="218">
        <f t="shared" ref="G53:Y53" si="33">IF(G$26&gt;0,G29*$C$9*$C$8/$C$6,0)*G$25</f>
        <v>31632.083999999995</v>
      </c>
      <c r="H53" s="218">
        <f t="shared" si="33"/>
        <v>34751.552000000003</v>
      </c>
      <c r="I53" s="218">
        <f t="shared" si="33"/>
        <v>33885.5</v>
      </c>
      <c r="J53" s="218">
        <f t="shared" si="33"/>
        <v>33884.400000000001</v>
      </c>
      <c r="K53" s="218">
        <f t="shared" si="33"/>
        <v>30245.599999999999</v>
      </c>
      <c r="L53" s="218">
        <f t="shared" si="33"/>
        <v>30013.588</v>
      </c>
      <c r="M53" s="218">
        <f t="shared" si="33"/>
        <v>22867.02</v>
      </c>
      <c r="N53" s="218">
        <f t="shared" si="33"/>
        <v>30245.599999999999</v>
      </c>
      <c r="O53" s="218">
        <f t="shared" si="33"/>
        <v>26426.400000000001</v>
      </c>
      <c r="P53" s="218">
        <f t="shared" si="33"/>
        <v>0</v>
      </c>
      <c r="Q53" s="218">
        <f t="shared" si="33"/>
        <v>0</v>
      </c>
      <c r="R53" s="218">
        <f t="shared" si="33"/>
        <v>0</v>
      </c>
      <c r="S53" s="218">
        <f t="shared" si="33"/>
        <v>0</v>
      </c>
      <c r="T53" s="218">
        <f t="shared" si="33"/>
        <v>0</v>
      </c>
      <c r="U53" s="218">
        <f t="shared" si="33"/>
        <v>0</v>
      </c>
      <c r="V53" s="218">
        <f t="shared" si="33"/>
        <v>0</v>
      </c>
      <c r="W53" s="218">
        <f t="shared" si="33"/>
        <v>0</v>
      </c>
      <c r="X53" s="218">
        <f t="shared" si="33"/>
        <v>0</v>
      </c>
      <c r="Y53" s="218">
        <f t="shared" si="33"/>
        <v>0</v>
      </c>
      <c r="Z53" s="214">
        <f t="shared" ref="Z53:Z63" si="34">SUM(G53:Y53)</f>
        <v>273951.74400000001</v>
      </c>
      <c r="AA53" s="218">
        <f t="shared" ref="AA53:BI53" si="35">IF(AA$26&gt;0,AA29*$C$9*$C$8/$C$6,0)*AA$25</f>
        <v>1320</v>
      </c>
      <c r="AB53" s="218">
        <f t="shared" si="35"/>
        <v>0</v>
      </c>
      <c r="AC53" s="218">
        <f t="shared" si="35"/>
        <v>0</v>
      </c>
      <c r="AD53" s="218">
        <f t="shared" si="35"/>
        <v>0</v>
      </c>
      <c r="AE53" s="218">
        <f t="shared" si="35"/>
        <v>6625.1239999999998</v>
      </c>
      <c r="AF53" s="218">
        <f t="shared" si="35"/>
        <v>6625.1239999999998</v>
      </c>
      <c r="AG53" s="218">
        <f t="shared" si="35"/>
        <v>6792.3680000000004</v>
      </c>
      <c r="AH53" s="218">
        <f t="shared" si="35"/>
        <v>6625.1239999999998</v>
      </c>
      <c r="AI53" s="218">
        <f t="shared" si="35"/>
        <v>19173.483999999997</v>
      </c>
      <c r="AJ53" s="218">
        <f t="shared" si="35"/>
        <v>0</v>
      </c>
      <c r="AK53" s="218">
        <f t="shared" si="35"/>
        <v>0</v>
      </c>
      <c r="AL53" s="218">
        <f t="shared" si="35"/>
        <v>0</v>
      </c>
      <c r="AM53" s="218">
        <f t="shared" si="35"/>
        <v>0</v>
      </c>
      <c r="AN53" s="218">
        <f t="shared" si="35"/>
        <v>0</v>
      </c>
      <c r="AO53" s="218">
        <f t="shared" si="35"/>
        <v>0</v>
      </c>
      <c r="AP53" s="218">
        <f t="shared" si="35"/>
        <v>0</v>
      </c>
      <c r="AQ53" s="218">
        <f t="shared" si="35"/>
        <v>0</v>
      </c>
      <c r="AR53" s="218">
        <f t="shared" si="35"/>
        <v>0</v>
      </c>
      <c r="AS53" s="218">
        <f t="shared" si="35"/>
        <v>14455.76</v>
      </c>
      <c r="AT53" s="218">
        <f t="shared" si="35"/>
        <v>16060.967999999997</v>
      </c>
      <c r="AU53" s="218">
        <f t="shared" si="35"/>
        <v>5593.5</v>
      </c>
      <c r="AV53" s="218">
        <f t="shared" si="35"/>
        <v>0</v>
      </c>
      <c r="AW53" s="218">
        <f t="shared" si="35"/>
        <v>0</v>
      </c>
      <c r="AX53" s="218">
        <f t="shared" si="35"/>
        <v>0</v>
      </c>
      <c r="AY53" s="218">
        <f t="shared" si="35"/>
        <v>15428.644</v>
      </c>
      <c r="AZ53" s="218">
        <f t="shared" si="35"/>
        <v>0</v>
      </c>
      <c r="BA53" s="218">
        <f t="shared" si="35"/>
        <v>0</v>
      </c>
      <c r="BB53" s="218">
        <f t="shared" si="35"/>
        <v>0</v>
      </c>
      <c r="BC53" s="218">
        <f t="shared" si="35"/>
        <v>8878.5730000000003</v>
      </c>
      <c r="BD53" s="218">
        <f t="shared" si="35"/>
        <v>9217.4279999999981</v>
      </c>
      <c r="BE53" s="218">
        <f t="shared" si="35"/>
        <v>3100.328</v>
      </c>
      <c r="BF53" s="218">
        <f t="shared" si="35"/>
        <v>24257.683999999997</v>
      </c>
      <c r="BG53" s="218">
        <f t="shared" si="35"/>
        <v>0</v>
      </c>
      <c r="BH53" s="218">
        <f t="shared" si="35"/>
        <v>0</v>
      </c>
      <c r="BI53" s="218">
        <f t="shared" si="35"/>
        <v>0</v>
      </c>
      <c r="BJ53" s="153">
        <f t="shared" si="27"/>
        <v>144154.109</v>
      </c>
      <c r="BK53" s="218">
        <f t="shared" si="28"/>
        <v>30774.568000000003</v>
      </c>
      <c r="BL53" s="218">
        <f t="shared" si="28"/>
        <v>25212</v>
      </c>
      <c r="BM53" s="218">
        <f t="shared" si="28"/>
        <v>18502.307999999997</v>
      </c>
      <c r="BN53" s="218">
        <f t="shared" si="28"/>
        <v>31910.164000000001</v>
      </c>
      <c r="BO53" s="218">
        <f t="shared" si="28"/>
        <v>0</v>
      </c>
      <c r="BP53" s="218">
        <f t="shared" si="28"/>
        <v>0</v>
      </c>
      <c r="BQ53" s="218">
        <f t="shared" si="28"/>
        <v>0</v>
      </c>
      <c r="BR53" s="153">
        <f t="shared" si="29"/>
        <v>106399.03999999999</v>
      </c>
      <c r="BS53" s="153">
        <f t="shared" si="30"/>
        <v>250553.14899999998</v>
      </c>
      <c r="BT53" s="249">
        <f t="shared" si="31"/>
        <v>552615.78899999999</v>
      </c>
    </row>
    <row r="54" spans="1:72">
      <c r="A54" s="76"/>
      <c r="B54" s="716"/>
      <c r="C54" s="216">
        <v>2011</v>
      </c>
      <c r="D54" s="218">
        <f t="shared" si="24"/>
        <v>28110.896000000001</v>
      </c>
      <c r="E54" s="218">
        <f t="shared" si="24"/>
        <v>0</v>
      </c>
      <c r="F54" s="214">
        <f t="shared" si="32"/>
        <v>28110.896000000001</v>
      </c>
      <c r="G54" s="218">
        <f t="shared" ref="G54:Y54" si="36">IF(G$26&gt;0,G30*$C$9*$C$8/$C$6,0)*G$25</f>
        <v>31632.083999999995</v>
      </c>
      <c r="H54" s="218">
        <f t="shared" si="36"/>
        <v>34751.552000000003</v>
      </c>
      <c r="I54" s="218">
        <f t="shared" si="36"/>
        <v>33885.5</v>
      </c>
      <c r="J54" s="218">
        <f t="shared" si="36"/>
        <v>33885.5</v>
      </c>
      <c r="K54" s="218">
        <f t="shared" si="36"/>
        <v>30245.599999999999</v>
      </c>
      <c r="L54" s="218">
        <f t="shared" si="36"/>
        <v>30013.588</v>
      </c>
      <c r="M54" s="218">
        <f t="shared" si="36"/>
        <v>22867.02</v>
      </c>
      <c r="N54" s="218">
        <f t="shared" si="36"/>
        <v>30245.599999999999</v>
      </c>
      <c r="O54" s="218">
        <f t="shared" si="36"/>
        <v>26426.400000000001</v>
      </c>
      <c r="P54" s="218">
        <f t="shared" si="36"/>
        <v>0</v>
      </c>
      <c r="Q54" s="218">
        <f t="shared" si="36"/>
        <v>0</v>
      </c>
      <c r="R54" s="218">
        <f t="shared" si="36"/>
        <v>0</v>
      </c>
      <c r="S54" s="218">
        <f t="shared" si="36"/>
        <v>0</v>
      </c>
      <c r="T54" s="218">
        <f t="shared" si="36"/>
        <v>0</v>
      </c>
      <c r="U54" s="218">
        <f t="shared" si="36"/>
        <v>0</v>
      </c>
      <c r="V54" s="218">
        <f t="shared" si="36"/>
        <v>0</v>
      </c>
      <c r="W54" s="218">
        <f t="shared" si="36"/>
        <v>0</v>
      </c>
      <c r="X54" s="218">
        <f t="shared" si="36"/>
        <v>0</v>
      </c>
      <c r="Y54" s="218">
        <f t="shared" si="36"/>
        <v>0</v>
      </c>
      <c r="Z54" s="214">
        <f t="shared" si="34"/>
        <v>273952.84399999998</v>
      </c>
      <c r="AA54" s="218">
        <f t="shared" ref="AA54:BI54" si="37">IF(AA$26&gt;0,AA30*$C$9*$C$8/$C$6,0)*AA$25</f>
        <v>1320</v>
      </c>
      <c r="AB54" s="218">
        <f t="shared" si="37"/>
        <v>0</v>
      </c>
      <c r="AC54" s="218">
        <f t="shared" si="37"/>
        <v>0</v>
      </c>
      <c r="AD54" s="218">
        <f t="shared" si="37"/>
        <v>0</v>
      </c>
      <c r="AE54" s="218">
        <f t="shared" si="37"/>
        <v>6625.1239999999998</v>
      </c>
      <c r="AF54" s="218">
        <f t="shared" si="37"/>
        <v>6625.1239999999998</v>
      </c>
      <c r="AG54" s="218">
        <f t="shared" si="37"/>
        <v>6792.3680000000004</v>
      </c>
      <c r="AH54" s="218">
        <f t="shared" si="37"/>
        <v>6625.1239999999998</v>
      </c>
      <c r="AI54" s="218">
        <f t="shared" si="37"/>
        <v>19173.483999999997</v>
      </c>
      <c r="AJ54" s="218">
        <f t="shared" si="37"/>
        <v>0</v>
      </c>
      <c r="AK54" s="218">
        <f t="shared" si="37"/>
        <v>0</v>
      </c>
      <c r="AL54" s="218">
        <f t="shared" si="37"/>
        <v>0</v>
      </c>
      <c r="AM54" s="218">
        <f t="shared" si="37"/>
        <v>0</v>
      </c>
      <c r="AN54" s="218">
        <f t="shared" si="37"/>
        <v>0</v>
      </c>
      <c r="AO54" s="218">
        <f t="shared" si="37"/>
        <v>0</v>
      </c>
      <c r="AP54" s="218">
        <f t="shared" si="37"/>
        <v>0</v>
      </c>
      <c r="AQ54" s="218">
        <f t="shared" si="37"/>
        <v>0</v>
      </c>
      <c r="AR54" s="218">
        <f t="shared" si="37"/>
        <v>0</v>
      </c>
      <c r="AS54" s="218">
        <f t="shared" si="37"/>
        <v>14455.76</v>
      </c>
      <c r="AT54" s="218">
        <f t="shared" si="37"/>
        <v>16060.967999999997</v>
      </c>
      <c r="AU54" s="218">
        <f t="shared" si="37"/>
        <v>5593.5</v>
      </c>
      <c r="AV54" s="218">
        <f t="shared" si="37"/>
        <v>0</v>
      </c>
      <c r="AW54" s="218">
        <f t="shared" si="37"/>
        <v>0</v>
      </c>
      <c r="AX54" s="218">
        <f t="shared" si="37"/>
        <v>0</v>
      </c>
      <c r="AY54" s="218">
        <f t="shared" si="37"/>
        <v>15428.644</v>
      </c>
      <c r="AZ54" s="218">
        <f t="shared" si="37"/>
        <v>0</v>
      </c>
      <c r="BA54" s="218">
        <f t="shared" si="37"/>
        <v>0</v>
      </c>
      <c r="BB54" s="218">
        <f t="shared" si="37"/>
        <v>0</v>
      </c>
      <c r="BC54" s="218">
        <f t="shared" si="37"/>
        <v>8878.5730000000003</v>
      </c>
      <c r="BD54" s="218">
        <f t="shared" si="37"/>
        <v>9217.4279999999981</v>
      </c>
      <c r="BE54" s="218">
        <f t="shared" si="37"/>
        <v>3100.328</v>
      </c>
      <c r="BF54" s="218">
        <f t="shared" si="37"/>
        <v>24257.683999999997</v>
      </c>
      <c r="BG54" s="218">
        <f t="shared" si="37"/>
        <v>0</v>
      </c>
      <c r="BH54" s="218">
        <f t="shared" si="37"/>
        <v>0</v>
      </c>
      <c r="BI54" s="218">
        <f t="shared" si="37"/>
        <v>0</v>
      </c>
      <c r="BJ54" s="153">
        <f t="shared" si="27"/>
        <v>144154.109</v>
      </c>
      <c r="BK54" s="218">
        <f t="shared" si="28"/>
        <v>30774.568000000003</v>
      </c>
      <c r="BL54" s="218">
        <f t="shared" si="28"/>
        <v>25212</v>
      </c>
      <c r="BM54" s="218">
        <f t="shared" si="28"/>
        <v>18502.307999999997</v>
      </c>
      <c r="BN54" s="218">
        <f t="shared" si="28"/>
        <v>31910.164000000001</v>
      </c>
      <c r="BO54" s="218">
        <f t="shared" si="28"/>
        <v>0</v>
      </c>
      <c r="BP54" s="218">
        <f t="shared" si="28"/>
        <v>0</v>
      </c>
      <c r="BQ54" s="218">
        <f t="shared" si="28"/>
        <v>0</v>
      </c>
      <c r="BR54" s="153">
        <f t="shared" si="29"/>
        <v>106399.03999999999</v>
      </c>
      <c r="BS54" s="153">
        <f t="shared" si="30"/>
        <v>250553.14899999998</v>
      </c>
      <c r="BT54" s="249">
        <f t="shared" si="31"/>
        <v>552616.88899999997</v>
      </c>
    </row>
    <row r="55" spans="1:72">
      <c r="A55" s="76"/>
      <c r="B55" s="716"/>
      <c r="C55" s="216">
        <v>2012</v>
      </c>
      <c r="D55" s="218">
        <f t="shared" si="24"/>
        <v>28110.896000000001</v>
      </c>
      <c r="E55" s="218">
        <f t="shared" si="24"/>
        <v>0</v>
      </c>
      <c r="F55" s="214">
        <f t="shared" si="32"/>
        <v>28110.896000000001</v>
      </c>
      <c r="G55" s="218">
        <f t="shared" ref="G55:Y55" si="38">IF(G$26&gt;0,G31*$C$9*$C$8/$C$6,0)*G$25</f>
        <v>31632.083999999995</v>
      </c>
      <c r="H55" s="218">
        <f t="shared" si="38"/>
        <v>34751.552000000003</v>
      </c>
      <c r="I55" s="218">
        <f t="shared" si="38"/>
        <v>33885.5</v>
      </c>
      <c r="J55" s="218">
        <f t="shared" si="38"/>
        <v>33885.5</v>
      </c>
      <c r="K55" s="218">
        <f t="shared" si="38"/>
        <v>30245.599999999999</v>
      </c>
      <c r="L55" s="218">
        <f t="shared" si="38"/>
        <v>30013.588</v>
      </c>
      <c r="M55" s="218">
        <f t="shared" si="38"/>
        <v>22867.02</v>
      </c>
      <c r="N55" s="218">
        <f t="shared" si="38"/>
        <v>30245.599999999999</v>
      </c>
      <c r="O55" s="218">
        <f t="shared" si="38"/>
        <v>26426.400000000001</v>
      </c>
      <c r="P55" s="218">
        <f t="shared" si="38"/>
        <v>0</v>
      </c>
      <c r="Q55" s="218">
        <f t="shared" si="38"/>
        <v>0</v>
      </c>
      <c r="R55" s="218">
        <f t="shared" si="38"/>
        <v>0</v>
      </c>
      <c r="S55" s="218">
        <f t="shared" si="38"/>
        <v>0</v>
      </c>
      <c r="T55" s="218">
        <f t="shared" si="38"/>
        <v>0</v>
      </c>
      <c r="U55" s="218">
        <f t="shared" si="38"/>
        <v>0</v>
      </c>
      <c r="V55" s="218">
        <f t="shared" si="38"/>
        <v>0</v>
      </c>
      <c r="W55" s="218">
        <f t="shared" si="38"/>
        <v>0</v>
      </c>
      <c r="X55" s="218">
        <f t="shared" si="38"/>
        <v>0</v>
      </c>
      <c r="Y55" s="218">
        <f t="shared" si="38"/>
        <v>0</v>
      </c>
      <c r="Z55" s="214">
        <f t="shared" si="34"/>
        <v>273952.84399999998</v>
      </c>
      <c r="AA55" s="218">
        <f t="shared" ref="AA55:BI55" si="39">IF(AA$26&gt;0,AA31*$C$9*$C$8/$C$6,0)*AA$25</f>
        <v>1320</v>
      </c>
      <c r="AB55" s="218">
        <f t="shared" si="39"/>
        <v>0</v>
      </c>
      <c r="AC55" s="218">
        <f t="shared" si="39"/>
        <v>0</v>
      </c>
      <c r="AD55" s="218">
        <f t="shared" si="39"/>
        <v>0</v>
      </c>
      <c r="AE55" s="218">
        <f t="shared" si="39"/>
        <v>6625.1239999999998</v>
      </c>
      <c r="AF55" s="218">
        <f t="shared" si="39"/>
        <v>6625.1239999999998</v>
      </c>
      <c r="AG55" s="218">
        <f t="shared" si="39"/>
        <v>6792.3680000000004</v>
      </c>
      <c r="AH55" s="218">
        <f t="shared" si="39"/>
        <v>6625.1239999999998</v>
      </c>
      <c r="AI55" s="218">
        <f t="shared" si="39"/>
        <v>19173.483999999997</v>
      </c>
      <c r="AJ55" s="218">
        <f t="shared" si="39"/>
        <v>0</v>
      </c>
      <c r="AK55" s="218">
        <f t="shared" si="39"/>
        <v>0</v>
      </c>
      <c r="AL55" s="218">
        <f t="shared" si="39"/>
        <v>0</v>
      </c>
      <c r="AM55" s="218">
        <f t="shared" si="39"/>
        <v>0</v>
      </c>
      <c r="AN55" s="218">
        <f t="shared" si="39"/>
        <v>0</v>
      </c>
      <c r="AO55" s="218">
        <f t="shared" si="39"/>
        <v>0</v>
      </c>
      <c r="AP55" s="218">
        <f t="shared" si="39"/>
        <v>0</v>
      </c>
      <c r="AQ55" s="218">
        <f t="shared" si="39"/>
        <v>0</v>
      </c>
      <c r="AR55" s="218">
        <f t="shared" si="39"/>
        <v>0</v>
      </c>
      <c r="AS55" s="218">
        <f t="shared" si="39"/>
        <v>14455.76</v>
      </c>
      <c r="AT55" s="218">
        <f t="shared" si="39"/>
        <v>16060.967999999997</v>
      </c>
      <c r="AU55" s="218">
        <f t="shared" si="39"/>
        <v>5593.5</v>
      </c>
      <c r="AV55" s="218">
        <f t="shared" si="39"/>
        <v>0</v>
      </c>
      <c r="AW55" s="218">
        <f t="shared" si="39"/>
        <v>0</v>
      </c>
      <c r="AX55" s="218">
        <f t="shared" si="39"/>
        <v>0</v>
      </c>
      <c r="AY55" s="218">
        <f t="shared" si="39"/>
        <v>15428.644</v>
      </c>
      <c r="AZ55" s="218">
        <f t="shared" si="39"/>
        <v>0</v>
      </c>
      <c r="BA55" s="218">
        <f t="shared" si="39"/>
        <v>0</v>
      </c>
      <c r="BB55" s="218">
        <f t="shared" si="39"/>
        <v>0</v>
      </c>
      <c r="BC55" s="218">
        <f t="shared" si="39"/>
        <v>8878.5730000000003</v>
      </c>
      <c r="BD55" s="218">
        <f t="shared" si="39"/>
        <v>9217.4279999999981</v>
      </c>
      <c r="BE55" s="218">
        <f t="shared" si="39"/>
        <v>3100.328</v>
      </c>
      <c r="BF55" s="218">
        <f t="shared" si="39"/>
        <v>24257.683999999997</v>
      </c>
      <c r="BG55" s="218">
        <f t="shared" si="39"/>
        <v>0</v>
      </c>
      <c r="BH55" s="218">
        <f t="shared" si="39"/>
        <v>0</v>
      </c>
      <c r="BI55" s="218">
        <f t="shared" si="39"/>
        <v>0</v>
      </c>
      <c r="BJ55" s="153">
        <f t="shared" si="27"/>
        <v>144154.109</v>
      </c>
      <c r="BK55" s="218">
        <f t="shared" si="28"/>
        <v>30774.568000000003</v>
      </c>
      <c r="BL55" s="218">
        <f t="shared" si="28"/>
        <v>25212</v>
      </c>
      <c r="BM55" s="218">
        <f t="shared" si="28"/>
        <v>18502.307999999997</v>
      </c>
      <c r="BN55" s="218">
        <f t="shared" si="28"/>
        <v>31910.164000000001</v>
      </c>
      <c r="BO55" s="218">
        <f t="shared" si="28"/>
        <v>0</v>
      </c>
      <c r="BP55" s="218">
        <f t="shared" si="28"/>
        <v>0</v>
      </c>
      <c r="BQ55" s="218">
        <f t="shared" si="28"/>
        <v>0</v>
      </c>
      <c r="BR55" s="153">
        <f t="shared" si="29"/>
        <v>106399.03999999999</v>
      </c>
      <c r="BS55" s="153">
        <f t="shared" si="30"/>
        <v>250553.14899999998</v>
      </c>
      <c r="BT55" s="249">
        <f t="shared" si="31"/>
        <v>552616.88899999997</v>
      </c>
    </row>
    <row r="56" spans="1:72">
      <c r="A56" s="76"/>
      <c r="B56" s="716"/>
      <c r="C56" s="216">
        <v>2013</v>
      </c>
      <c r="D56" s="218">
        <f t="shared" si="24"/>
        <v>28110.896000000001</v>
      </c>
      <c r="E56" s="218">
        <f t="shared" si="24"/>
        <v>0</v>
      </c>
      <c r="F56" s="214">
        <f t="shared" si="32"/>
        <v>28110.896000000001</v>
      </c>
      <c r="G56" s="218">
        <f t="shared" ref="G56:Y56" si="40">IF(G$26&gt;0,G32*$C$9*$C$8/$C$6,0)*G$25</f>
        <v>31632.083999999995</v>
      </c>
      <c r="H56" s="218">
        <f t="shared" si="40"/>
        <v>34751.552000000003</v>
      </c>
      <c r="I56" s="218">
        <f t="shared" si="40"/>
        <v>33885.5</v>
      </c>
      <c r="J56" s="218">
        <f t="shared" si="40"/>
        <v>33885.5</v>
      </c>
      <c r="K56" s="218">
        <f t="shared" si="40"/>
        <v>30245.599999999999</v>
      </c>
      <c r="L56" s="218">
        <f t="shared" si="40"/>
        <v>30013.588</v>
      </c>
      <c r="M56" s="218">
        <f t="shared" si="40"/>
        <v>22867.02</v>
      </c>
      <c r="N56" s="218">
        <f t="shared" si="40"/>
        <v>30245.599999999999</v>
      </c>
      <c r="O56" s="218">
        <f t="shared" si="40"/>
        <v>26426.400000000001</v>
      </c>
      <c r="P56" s="218">
        <f t="shared" si="40"/>
        <v>0</v>
      </c>
      <c r="Q56" s="218">
        <f t="shared" si="40"/>
        <v>0</v>
      </c>
      <c r="R56" s="218">
        <f t="shared" si="40"/>
        <v>0</v>
      </c>
      <c r="S56" s="218">
        <f t="shared" si="40"/>
        <v>0</v>
      </c>
      <c r="T56" s="218">
        <f t="shared" si="40"/>
        <v>0</v>
      </c>
      <c r="U56" s="218">
        <f t="shared" si="40"/>
        <v>0</v>
      </c>
      <c r="V56" s="218">
        <f t="shared" si="40"/>
        <v>0</v>
      </c>
      <c r="W56" s="218">
        <f t="shared" si="40"/>
        <v>0</v>
      </c>
      <c r="X56" s="218">
        <f t="shared" si="40"/>
        <v>0</v>
      </c>
      <c r="Y56" s="218">
        <f t="shared" si="40"/>
        <v>0</v>
      </c>
      <c r="Z56" s="214">
        <f t="shared" si="34"/>
        <v>273952.84399999998</v>
      </c>
      <c r="AA56" s="218">
        <f t="shared" ref="AA56:BI56" si="41">IF(AA$26&gt;0,AA32*$C$9*$C$8/$C$6,0)*AA$25</f>
        <v>1320</v>
      </c>
      <c r="AB56" s="218">
        <f t="shared" si="41"/>
        <v>0</v>
      </c>
      <c r="AC56" s="218">
        <f t="shared" si="41"/>
        <v>0</v>
      </c>
      <c r="AD56" s="218">
        <f t="shared" si="41"/>
        <v>0</v>
      </c>
      <c r="AE56" s="218">
        <f t="shared" si="41"/>
        <v>6625.1239999999998</v>
      </c>
      <c r="AF56" s="218">
        <f t="shared" si="41"/>
        <v>6625.1239999999998</v>
      </c>
      <c r="AG56" s="218">
        <f t="shared" si="41"/>
        <v>6792.3680000000004</v>
      </c>
      <c r="AH56" s="218">
        <f t="shared" si="41"/>
        <v>6625.1239999999998</v>
      </c>
      <c r="AI56" s="218">
        <f t="shared" si="41"/>
        <v>19173.483999999997</v>
      </c>
      <c r="AJ56" s="218">
        <f t="shared" si="41"/>
        <v>0</v>
      </c>
      <c r="AK56" s="218">
        <f t="shared" si="41"/>
        <v>0</v>
      </c>
      <c r="AL56" s="218">
        <f t="shared" si="41"/>
        <v>0</v>
      </c>
      <c r="AM56" s="218">
        <f t="shared" si="41"/>
        <v>0</v>
      </c>
      <c r="AN56" s="218">
        <f t="shared" si="41"/>
        <v>0</v>
      </c>
      <c r="AO56" s="218">
        <f t="shared" si="41"/>
        <v>0</v>
      </c>
      <c r="AP56" s="218">
        <f t="shared" si="41"/>
        <v>0</v>
      </c>
      <c r="AQ56" s="218">
        <f t="shared" si="41"/>
        <v>0</v>
      </c>
      <c r="AR56" s="218">
        <f t="shared" si="41"/>
        <v>0</v>
      </c>
      <c r="AS56" s="218">
        <f t="shared" si="41"/>
        <v>14455.76</v>
      </c>
      <c r="AT56" s="218">
        <f t="shared" si="41"/>
        <v>16060.967999999997</v>
      </c>
      <c r="AU56" s="218">
        <f t="shared" si="41"/>
        <v>5593.5</v>
      </c>
      <c r="AV56" s="218">
        <f t="shared" si="41"/>
        <v>0</v>
      </c>
      <c r="AW56" s="218">
        <f t="shared" si="41"/>
        <v>0</v>
      </c>
      <c r="AX56" s="218">
        <f t="shared" si="41"/>
        <v>0</v>
      </c>
      <c r="AY56" s="218">
        <f t="shared" si="41"/>
        <v>15428.644</v>
      </c>
      <c r="AZ56" s="218">
        <f t="shared" si="41"/>
        <v>0</v>
      </c>
      <c r="BA56" s="218">
        <f t="shared" si="41"/>
        <v>0</v>
      </c>
      <c r="BB56" s="218">
        <f t="shared" si="41"/>
        <v>0</v>
      </c>
      <c r="BC56" s="218">
        <f t="shared" si="41"/>
        <v>8878.5730000000003</v>
      </c>
      <c r="BD56" s="218">
        <f t="shared" si="41"/>
        <v>9217.4279999999981</v>
      </c>
      <c r="BE56" s="218">
        <f t="shared" si="41"/>
        <v>3100.328</v>
      </c>
      <c r="BF56" s="218">
        <f t="shared" si="41"/>
        <v>24257.683999999997</v>
      </c>
      <c r="BG56" s="218">
        <f t="shared" si="41"/>
        <v>0</v>
      </c>
      <c r="BH56" s="218">
        <f t="shared" si="41"/>
        <v>0</v>
      </c>
      <c r="BI56" s="218">
        <f t="shared" si="41"/>
        <v>0</v>
      </c>
      <c r="BJ56" s="153">
        <f t="shared" si="27"/>
        <v>144154.109</v>
      </c>
      <c r="BK56" s="218">
        <f t="shared" si="28"/>
        <v>30774.568000000003</v>
      </c>
      <c r="BL56" s="218">
        <f t="shared" si="28"/>
        <v>25212</v>
      </c>
      <c r="BM56" s="218">
        <f t="shared" si="28"/>
        <v>18502.307999999997</v>
      </c>
      <c r="BN56" s="218">
        <f t="shared" si="28"/>
        <v>31910.164000000001</v>
      </c>
      <c r="BO56" s="218">
        <f t="shared" si="28"/>
        <v>0</v>
      </c>
      <c r="BP56" s="218">
        <f t="shared" si="28"/>
        <v>0</v>
      </c>
      <c r="BQ56" s="218">
        <f t="shared" si="28"/>
        <v>0</v>
      </c>
      <c r="BR56" s="153">
        <f t="shared" si="29"/>
        <v>106399.03999999999</v>
      </c>
      <c r="BS56" s="153">
        <f t="shared" si="30"/>
        <v>250553.14899999998</v>
      </c>
      <c r="BT56" s="249">
        <f t="shared" si="31"/>
        <v>552616.88899999997</v>
      </c>
    </row>
    <row r="57" spans="1:72">
      <c r="B57" s="716"/>
      <c r="C57" s="216">
        <v>2014</v>
      </c>
      <c r="D57" s="218">
        <f t="shared" si="24"/>
        <v>28110.896000000001</v>
      </c>
      <c r="E57" s="218">
        <f t="shared" si="24"/>
        <v>0</v>
      </c>
      <c r="F57" s="214">
        <f t="shared" si="32"/>
        <v>28110.896000000001</v>
      </c>
      <c r="G57" s="218">
        <f t="shared" ref="G57:Y57" si="42">IF(G$26&gt;0,G33*$C$9*$C$8/$C$6,0)*G$25</f>
        <v>31632.083999999995</v>
      </c>
      <c r="H57" s="218">
        <f t="shared" si="42"/>
        <v>34751.552000000003</v>
      </c>
      <c r="I57" s="218">
        <f t="shared" si="42"/>
        <v>33885.5</v>
      </c>
      <c r="J57" s="218">
        <f t="shared" si="42"/>
        <v>33885.5</v>
      </c>
      <c r="K57" s="218">
        <f t="shared" si="42"/>
        <v>30245.599999999999</v>
      </c>
      <c r="L57" s="218">
        <f t="shared" si="42"/>
        <v>30013.588</v>
      </c>
      <c r="M57" s="218">
        <f t="shared" si="42"/>
        <v>22867.02</v>
      </c>
      <c r="N57" s="218">
        <f t="shared" si="42"/>
        <v>30245.599999999999</v>
      </c>
      <c r="O57" s="218">
        <f t="shared" si="42"/>
        <v>26426.400000000001</v>
      </c>
      <c r="P57" s="218">
        <f t="shared" si="42"/>
        <v>0</v>
      </c>
      <c r="Q57" s="218">
        <f t="shared" si="42"/>
        <v>0</v>
      </c>
      <c r="R57" s="218">
        <f t="shared" si="42"/>
        <v>0</v>
      </c>
      <c r="S57" s="218">
        <f t="shared" si="42"/>
        <v>0</v>
      </c>
      <c r="T57" s="218">
        <f t="shared" si="42"/>
        <v>0</v>
      </c>
      <c r="U57" s="218">
        <f t="shared" si="42"/>
        <v>0</v>
      </c>
      <c r="V57" s="218">
        <f t="shared" si="42"/>
        <v>0</v>
      </c>
      <c r="W57" s="218">
        <f t="shared" si="42"/>
        <v>0</v>
      </c>
      <c r="X57" s="218">
        <f t="shared" si="42"/>
        <v>0</v>
      </c>
      <c r="Y57" s="218">
        <f t="shared" si="42"/>
        <v>0</v>
      </c>
      <c r="Z57" s="214">
        <f t="shared" si="34"/>
        <v>273952.84399999998</v>
      </c>
      <c r="AA57" s="218">
        <f t="shared" ref="AA57:BI57" si="43">IF(AA$26&gt;0,AA33*$C$9*$C$8/$C$6,0)*AA$25</f>
        <v>1320</v>
      </c>
      <c r="AB57" s="218">
        <f t="shared" si="43"/>
        <v>0</v>
      </c>
      <c r="AC57" s="218">
        <f t="shared" si="43"/>
        <v>0</v>
      </c>
      <c r="AD57" s="218">
        <f t="shared" si="43"/>
        <v>0</v>
      </c>
      <c r="AE57" s="218">
        <f t="shared" si="43"/>
        <v>6625.1239999999998</v>
      </c>
      <c r="AF57" s="218">
        <f t="shared" si="43"/>
        <v>6625.1239999999998</v>
      </c>
      <c r="AG57" s="218">
        <f t="shared" si="43"/>
        <v>6792.3680000000004</v>
      </c>
      <c r="AH57" s="218">
        <f t="shared" si="43"/>
        <v>6625.1239999999998</v>
      </c>
      <c r="AI57" s="218">
        <f t="shared" si="43"/>
        <v>19173.483999999997</v>
      </c>
      <c r="AJ57" s="218">
        <f t="shared" si="43"/>
        <v>0</v>
      </c>
      <c r="AK57" s="218">
        <f t="shared" si="43"/>
        <v>0</v>
      </c>
      <c r="AL57" s="218">
        <f t="shared" si="43"/>
        <v>0</v>
      </c>
      <c r="AM57" s="218">
        <f t="shared" si="43"/>
        <v>0</v>
      </c>
      <c r="AN57" s="218">
        <f t="shared" si="43"/>
        <v>0</v>
      </c>
      <c r="AO57" s="218">
        <f t="shared" si="43"/>
        <v>0</v>
      </c>
      <c r="AP57" s="218">
        <f t="shared" si="43"/>
        <v>0</v>
      </c>
      <c r="AQ57" s="218">
        <f t="shared" si="43"/>
        <v>0</v>
      </c>
      <c r="AR57" s="218">
        <f t="shared" si="43"/>
        <v>0</v>
      </c>
      <c r="AS57" s="218">
        <f t="shared" si="43"/>
        <v>13734.16</v>
      </c>
      <c r="AT57" s="218">
        <f t="shared" si="43"/>
        <v>16060.967999999997</v>
      </c>
      <c r="AU57" s="218">
        <f t="shared" si="43"/>
        <v>5593.5</v>
      </c>
      <c r="AV57" s="218">
        <f t="shared" si="43"/>
        <v>0</v>
      </c>
      <c r="AW57" s="218">
        <f t="shared" si="43"/>
        <v>0</v>
      </c>
      <c r="AX57" s="218">
        <f t="shared" si="43"/>
        <v>0</v>
      </c>
      <c r="AY57" s="218">
        <f t="shared" si="43"/>
        <v>15428.644</v>
      </c>
      <c r="AZ57" s="218">
        <f t="shared" si="43"/>
        <v>0</v>
      </c>
      <c r="BA57" s="218">
        <f t="shared" si="43"/>
        <v>0</v>
      </c>
      <c r="BB57" s="218">
        <f t="shared" si="43"/>
        <v>0</v>
      </c>
      <c r="BC57" s="218">
        <f t="shared" si="43"/>
        <v>8878.5730000000003</v>
      </c>
      <c r="BD57" s="218">
        <f t="shared" si="43"/>
        <v>9217.4279999999981</v>
      </c>
      <c r="BE57" s="218">
        <f t="shared" si="43"/>
        <v>3100.328</v>
      </c>
      <c r="BF57" s="218">
        <f t="shared" si="43"/>
        <v>24257.683999999997</v>
      </c>
      <c r="BG57" s="218">
        <f t="shared" si="43"/>
        <v>0</v>
      </c>
      <c r="BH57" s="218">
        <f t="shared" si="43"/>
        <v>0</v>
      </c>
      <c r="BI57" s="218">
        <f t="shared" si="43"/>
        <v>0</v>
      </c>
      <c r="BJ57" s="153">
        <f t="shared" si="27"/>
        <v>143432.50899999999</v>
      </c>
      <c r="BK57" s="218">
        <f t="shared" si="28"/>
        <v>30774.568000000003</v>
      </c>
      <c r="BL57" s="218">
        <f t="shared" si="28"/>
        <v>25212</v>
      </c>
      <c r="BM57" s="218">
        <f t="shared" si="28"/>
        <v>18502.307999999997</v>
      </c>
      <c r="BN57" s="218">
        <f t="shared" si="28"/>
        <v>31910.164000000001</v>
      </c>
      <c r="BO57" s="218">
        <f t="shared" si="28"/>
        <v>0</v>
      </c>
      <c r="BP57" s="218">
        <f t="shared" si="28"/>
        <v>0</v>
      </c>
      <c r="BQ57" s="218">
        <f t="shared" si="28"/>
        <v>0</v>
      </c>
      <c r="BR57" s="153">
        <f t="shared" si="29"/>
        <v>106399.03999999999</v>
      </c>
      <c r="BS57" s="153">
        <f t="shared" si="30"/>
        <v>249831.549</v>
      </c>
      <c r="BT57" s="249">
        <f t="shared" si="31"/>
        <v>551895.28899999999</v>
      </c>
    </row>
    <row r="58" spans="1:72">
      <c r="A58" s="76"/>
      <c r="B58" s="716"/>
      <c r="C58" s="216">
        <v>2015</v>
      </c>
      <c r="D58" s="218">
        <f t="shared" si="24"/>
        <v>28110.896000000001</v>
      </c>
      <c r="E58" s="218">
        <f t="shared" si="24"/>
        <v>0</v>
      </c>
      <c r="F58" s="214">
        <f t="shared" si="32"/>
        <v>28110.896000000001</v>
      </c>
      <c r="G58" s="218">
        <f t="shared" ref="G58:Y58" si="44">IF(G$26&gt;0,G34*$C$9*$C$8/$C$6,0)*G$25</f>
        <v>31632.083999999995</v>
      </c>
      <c r="H58" s="218">
        <f t="shared" si="44"/>
        <v>34751.552000000003</v>
      </c>
      <c r="I58" s="218">
        <f t="shared" si="44"/>
        <v>33885.5</v>
      </c>
      <c r="J58" s="218">
        <f t="shared" si="44"/>
        <v>33885.5</v>
      </c>
      <c r="K58" s="218">
        <f t="shared" si="44"/>
        <v>30245.599999999999</v>
      </c>
      <c r="L58" s="218">
        <f t="shared" si="44"/>
        <v>30013.588</v>
      </c>
      <c r="M58" s="218">
        <f t="shared" si="44"/>
        <v>22867.02</v>
      </c>
      <c r="N58" s="218">
        <f t="shared" si="44"/>
        <v>30245.599999999999</v>
      </c>
      <c r="O58" s="218">
        <f t="shared" si="44"/>
        <v>26426.400000000001</v>
      </c>
      <c r="P58" s="218">
        <f t="shared" si="44"/>
        <v>0</v>
      </c>
      <c r="Q58" s="218">
        <f t="shared" si="44"/>
        <v>0</v>
      </c>
      <c r="R58" s="218">
        <f t="shared" si="44"/>
        <v>0</v>
      </c>
      <c r="S58" s="218">
        <f t="shared" si="44"/>
        <v>0</v>
      </c>
      <c r="T58" s="218">
        <f t="shared" si="44"/>
        <v>0</v>
      </c>
      <c r="U58" s="218">
        <f t="shared" si="44"/>
        <v>0</v>
      </c>
      <c r="V58" s="218">
        <f t="shared" si="44"/>
        <v>0</v>
      </c>
      <c r="W58" s="218">
        <f t="shared" si="44"/>
        <v>0</v>
      </c>
      <c r="X58" s="218">
        <f t="shared" si="44"/>
        <v>0</v>
      </c>
      <c r="Y58" s="218">
        <f t="shared" si="44"/>
        <v>0</v>
      </c>
      <c r="Z58" s="214">
        <f t="shared" si="34"/>
        <v>273952.84399999998</v>
      </c>
      <c r="AA58" s="218">
        <f t="shared" ref="AA58:BI58" si="45">IF(AA$26&gt;0,AA34*$C$9*$C$8/$C$6,0)*AA$25</f>
        <v>1320</v>
      </c>
      <c r="AB58" s="218">
        <f t="shared" si="45"/>
        <v>0</v>
      </c>
      <c r="AC58" s="218">
        <f t="shared" si="45"/>
        <v>0</v>
      </c>
      <c r="AD58" s="218">
        <f t="shared" si="45"/>
        <v>0</v>
      </c>
      <c r="AE58" s="218">
        <f t="shared" si="45"/>
        <v>6625.1239999999998</v>
      </c>
      <c r="AF58" s="218">
        <f t="shared" si="45"/>
        <v>6625.1239999999998</v>
      </c>
      <c r="AG58" s="218">
        <f t="shared" si="45"/>
        <v>6792.3680000000004</v>
      </c>
      <c r="AH58" s="218">
        <f t="shared" si="45"/>
        <v>6625.1239999999998</v>
      </c>
      <c r="AI58" s="218">
        <f t="shared" si="45"/>
        <v>19173.483999999997</v>
      </c>
      <c r="AJ58" s="218">
        <f t="shared" si="45"/>
        <v>0</v>
      </c>
      <c r="AK58" s="218">
        <f t="shared" si="45"/>
        <v>0</v>
      </c>
      <c r="AL58" s="218">
        <f t="shared" si="45"/>
        <v>0</v>
      </c>
      <c r="AM58" s="218">
        <f t="shared" si="45"/>
        <v>0</v>
      </c>
      <c r="AN58" s="218">
        <f t="shared" si="45"/>
        <v>0</v>
      </c>
      <c r="AO58" s="218">
        <f t="shared" si="45"/>
        <v>0</v>
      </c>
      <c r="AP58" s="218">
        <f t="shared" si="45"/>
        <v>0</v>
      </c>
      <c r="AQ58" s="218">
        <f t="shared" si="45"/>
        <v>0</v>
      </c>
      <c r="AR58" s="218">
        <f t="shared" si="45"/>
        <v>0</v>
      </c>
      <c r="AS58" s="218">
        <f t="shared" si="45"/>
        <v>13125.859999999999</v>
      </c>
      <c r="AT58" s="218">
        <f t="shared" si="45"/>
        <v>16060.967999999997</v>
      </c>
      <c r="AU58" s="218">
        <f t="shared" si="45"/>
        <v>5593.5</v>
      </c>
      <c r="AV58" s="218">
        <f t="shared" si="45"/>
        <v>0</v>
      </c>
      <c r="AW58" s="218">
        <f t="shared" si="45"/>
        <v>0</v>
      </c>
      <c r="AX58" s="218">
        <f t="shared" si="45"/>
        <v>0</v>
      </c>
      <c r="AY58" s="218">
        <f t="shared" si="45"/>
        <v>15428.644</v>
      </c>
      <c r="AZ58" s="218">
        <f t="shared" si="45"/>
        <v>0</v>
      </c>
      <c r="BA58" s="218">
        <f t="shared" si="45"/>
        <v>0</v>
      </c>
      <c r="BB58" s="218">
        <f t="shared" si="45"/>
        <v>0</v>
      </c>
      <c r="BC58" s="218">
        <f t="shared" si="45"/>
        <v>8878.5730000000003</v>
      </c>
      <c r="BD58" s="218">
        <f t="shared" si="45"/>
        <v>9217.4279999999981</v>
      </c>
      <c r="BE58" s="218">
        <f t="shared" si="45"/>
        <v>3100.328</v>
      </c>
      <c r="BF58" s="218">
        <f t="shared" si="45"/>
        <v>24257.683999999997</v>
      </c>
      <c r="BG58" s="218">
        <f t="shared" si="45"/>
        <v>0</v>
      </c>
      <c r="BH58" s="218">
        <f t="shared" si="45"/>
        <v>0</v>
      </c>
      <c r="BI58" s="218">
        <f t="shared" si="45"/>
        <v>0</v>
      </c>
      <c r="BJ58" s="153">
        <f t="shared" si="27"/>
        <v>142824.209</v>
      </c>
      <c r="BK58" s="218">
        <f t="shared" si="28"/>
        <v>30774.568000000003</v>
      </c>
      <c r="BL58" s="218">
        <f t="shared" si="28"/>
        <v>25212</v>
      </c>
      <c r="BM58" s="218">
        <f t="shared" si="28"/>
        <v>18502.307999999997</v>
      </c>
      <c r="BN58" s="218">
        <f t="shared" si="28"/>
        <v>31910.164000000001</v>
      </c>
      <c r="BO58" s="218">
        <f t="shared" si="28"/>
        <v>0</v>
      </c>
      <c r="BP58" s="218">
        <f t="shared" si="28"/>
        <v>0</v>
      </c>
      <c r="BQ58" s="218">
        <f t="shared" si="28"/>
        <v>0</v>
      </c>
      <c r="BR58" s="153">
        <f t="shared" si="29"/>
        <v>106399.03999999999</v>
      </c>
      <c r="BS58" s="153">
        <f t="shared" si="30"/>
        <v>249223.24900000001</v>
      </c>
      <c r="BT58" s="249">
        <f t="shared" si="31"/>
        <v>551286.98900000006</v>
      </c>
    </row>
    <row r="59" spans="1:72">
      <c r="A59" s="76"/>
      <c r="B59" s="716"/>
      <c r="C59" s="216">
        <v>2016</v>
      </c>
      <c r="D59" s="218">
        <f t="shared" si="24"/>
        <v>28110.896000000001</v>
      </c>
      <c r="E59" s="218">
        <f t="shared" si="24"/>
        <v>0</v>
      </c>
      <c r="F59" s="214">
        <f t="shared" si="32"/>
        <v>28110.896000000001</v>
      </c>
      <c r="G59" s="218">
        <f t="shared" ref="G59:Y59" si="46">IF(G$26&gt;0,G35*$C$9*$C$8/$C$6,0)*G$25</f>
        <v>31632.083999999995</v>
      </c>
      <c r="H59" s="218">
        <f t="shared" si="46"/>
        <v>34751.552000000003</v>
      </c>
      <c r="I59" s="218">
        <f t="shared" si="46"/>
        <v>33885.5</v>
      </c>
      <c r="J59" s="218">
        <f t="shared" si="46"/>
        <v>33885.5</v>
      </c>
      <c r="K59" s="218">
        <f t="shared" si="46"/>
        <v>30245.599999999999</v>
      </c>
      <c r="L59" s="218">
        <f t="shared" si="46"/>
        <v>30013.588</v>
      </c>
      <c r="M59" s="218">
        <f t="shared" si="46"/>
        <v>22867.02</v>
      </c>
      <c r="N59" s="218">
        <f t="shared" si="46"/>
        <v>30245.599999999999</v>
      </c>
      <c r="O59" s="218">
        <f t="shared" si="46"/>
        <v>26426.400000000001</v>
      </c>
      <c r="P59" s="218">
        <f t="shared" si="46"/>
        <v>0</v>
      </c>
      <c r="Q59" s="218">
        <f t="shared" si="46"/>
        <v>0</v>
      </c>
      <c r="R59" s="218">
        <f t="shared" si="46"/>
        <v>0</v>
      </c>
      <c r="S59" s="218">
        <f t="shared" si="46"/>
        <v>0</v>
      </c>
      <c r="T59" s="218">
        <f t="shared" si="46"/>
        <v>0</v>
      </c>
      <c r="U59" s="218">
        <f t="shared" si="46"/>
        <v>0</v>
      </c>
      <c r="V59" s="218">
        <f t="shared" si="46"/>
        <v>0</v>
      </c>
      <c r="W59" s="218">
        <f t="shared" si="46"/>
        <v>0</v>
      </c>
      <c r="X59" s="218">
        <f t="shared" si="46"/>
        <v>0</v>
      </c>
      <c r="Y59" s="218">
        <f t="shared" si="46"/>
        <v>0</v>
      </c>
      <c r="Z59" s="214">
        <f t="shared" si="34"/>
        <v>273952.84399999998</v>
      </c>
      <c r="AA59" s="218">
        <f t="shared" ref="AA59:BI59" si="47">IF(AA$26&gt;0,AA35*$C$9*$C$8/$C$6,0)*AA$25</f>
        <v>1320</v>
      </c>
      <c r="AB59" s="218">
        <f t="shared" si="47"/>
        <v>0</v>
      </c>
      <c r="AC59" s="218">
        <f t="shared" si="47"/>
        <v>0</v>
      </c>
      <c r="AD59" s="218">
        <f t="shared" si="47"/>
        <v>0</v>
      </c>
      <c r="AE59" s="218">
        <f t="shared" si="47"/>
        <v>6625.1239999999998</v>
      </c>
      <c r="AF59" s="218">
        <f t="shared" si="47"/>
        <v>6625.1239999999998</v>
      </c>
      <c r="AG59" s="218">
        <f t="shared" si="47"/>
        <v>6792.3680000000004</v>
      </c>
      <c r="AH59" s="218">
        <f t="shared" si="47"/>
        <v>6625.1239999999998</v>
      </c>
      <c r="AI59" s="218">
        <f t="shared" si="47"/>
        <v>19173.483999999997</v>
      </c>
      <c r="AJ59" s="218">
        <f t="shared" si="47"/>
        <v>0</v>
      </c>
      <c r="AK59" s="218">
        <f t="shared" si="47"/>
        <v>0</v>
      </c>
      <c r="AL59" s="218">
        <f t="shared" si="47"/>
        <v>0</v>
      </c>
      <c r="AM59" s="218">
        <f t="shared" si="47"/>
        <v>0</v>
      </c>
      <c r="AN59" s="218">
        <f t="shared" si="47"/>
        <v>0</v>
      </c>
      <c r="AO59" s="218">
        <f t="shared" si="47"/>
        <v>0</v>
      </c>
      <c r="AP59" s="218">
        <f t="shared" si="47"/>
        <v>0</v>
      </c>
      <c r="AQ59" s="218">
        <f t="shared" si="47"/>
        <v>0</v>
      </c>
      <c r="AR59" s="218">
        <f t="shared" si="47"/>
        <v>0</v>
      </c>
      <c r="AS59" s="218">
        <f t="shared" si="47"/>
        <v>18309.059999999998</v>
      </c>
      <c r="AT59" s="218">
        <f t="shared" si="47"/>
        <v>16060.967999999997</v>
      </c>
      <c r="AU59" s="218">
        <f t="shared" si="47"/>
        <v>5593.5</v>
      </c>
      <c r="AV59" s="218">
        <f t="shared" si="47"/>
        <v>0</v>
      </c>
      <c r="AW59" s="218">
        <f t="shared" si="47"/>
        <v>0</v>
      </c>
      <c r="AX59" s="218">
        <f t="shared" si="47"/>
        <v>0</v>
      </c>
      <c r="AY59" s="218">
        <f t="shared" si="47"/>
        <v>15428.644</v>
      </c>
      <c r="AZ59" s="218">
        <f t="shared" si="47"/>
        <v>0</v>
      </c>
      <c r="BA59" s="218">
        <f t="shared" si="47"/>
        <v>0</v>
      </c>
      <c r="BB59" s="218">
        <f t="shared" si="47"/>
        <v>0</v>
      </c>
      <c r="BC59" s="218">
        <f t="shared" si="47"/>
        <v>8878.5730000000003</v>
      </c>
      <c r="BD59" s="218">
        <f t="shared" si="47"/>
        <v>9217.4279999999981</v>
      </c>
      <c r="BE59" s="218">
        <f t="shared" si="47"/>
        <v>3100.328</v>
      </c>
      <c r="BF59" s="218">
        <f t="shared" si="47"/>
        <v>24257.683999999997</v>
      </c>
      <c r="BG59" s="218">
        <f t="shared" si="47"/>
        <v>0</v>
      </c>
      <c r="BH59" s="218">
        <f t="shared" si="47"/>
        <v>0</v>
      </c>
      <c r="BI59" s="218">
        <f t="shared" si="47"/>
        <v>0</v>
      </c>
      <c r="BJ59" s="153">
        <f t="shared" si="27"/>
        <v>148007.40899999999</v>
      </c>
      <c r="BK59" s="218">
        <f t="shared" si="28"/>
        <v>30774.568000000003</v>
      </c>
      <c r="BL59" s="218">
        <f t="shared" si="28"/>
        <v>25212</v>
      </c>
      <c r="BM59" s="218">
        <f t="shared" si="28"/>
        <v>18502.307999999997</v>
      </c>
      <c r="BN59" s="218">
        <f t="shared" si="28"/>
        <v>31910.164000000001</v>
      </c>
      <c r="BO59" s="218">
        <f t="shared" si="28"/>
        <v>0</v>
      </c>
      <c r="BP59" s="218">
        <f t="shared" si="28"/>
        <v>0</v>
      </c>
      <c r="BQ59" s="218">
        <f t="shared" si="28"/>
        <v>0</v>
      </c>
      <c r="BR59" s="153">
        <f t="shared" si="29"/>
        <v>106399.03999999999</v>
      </c>
      <c r="BS59" s="153">
        <f t="shared" si="30"/>
        <v>254406.44899999996</v>
      </c>
      <c r="BT59" s="249">
        <f t="shared" si="31"/>
        <v>556470.18900000001</v>
      </c>
    </row>
    <row r="60" spans="1:72">
      <c r="A60" s="76"/>
      <c r="B60" s="716"/>
      <c r="C60" s="216">
        <v>2017</v>
      </c>
      <c r="D60" s="218">
        <f t="shared" si="24"/>
        <v>28110.896000000001</v>
      </c>
      <c r="E60" s="218">
        <f t="shared" si="24"/>
        <v>0</v>
      </c>
      <c r="F60" s="214">
        <f t="shared" si="32"/>
        <v>28110.896000000001</v>
      </c>
      <c r="G60" s="218">
        <f t="shared" ref="G60:Y60" si="48">IF(G$26&gt;0,G36*$C$9*$C$8/$C$6,0)*G$25</f>
        <v>31632.083999999995</v>
      </c>
      <c r="H60" s="218">
        <f t="shared" si="48"/>
        <v>34751.552000000003</v>
      </c>
      <c r="I60" s="218">
        <f t="shared" si="48"/>
        <v>33885.5</v>
      </c>
      <c r="J60" s="218">
        <f t="shared" si="48"/>
        <v>33885.5</v>
      </c>
      <c r="K60" s="218">
        <f t="shared" si="48"/>
        <v>30245.599999999999</v>
      </c>
      <c r="L60" s="218">
        <f t="shared" si="48"/>
        <v>30013.588</v>
      </c>
      <c r="M60" s="218">
        <f t="shared" si="48"/>
        <v>22867.02</v>
      </c>
      <c r="N60" s="218">
        <f t="shared" si="48"/>
        <v>30245.599999999999</v>
      </c>
      <c r="O60" s="218">
        <f t="shared" si="48"/>
        <v>26426.400000000001</v>
      </c>
      <c r="P60" s="218">
        <f t="shared" si="48"/>
        <v>0</v>
      </c>
      <c r="Q60" s="218">
        <f t="shared" si="48"/>
        <v>0</v>
      </c>
      <c r="R60" s="218">
        <f t="shared" si="48"/>
        <v>0</v>
      </c>
      <c r="S60" s="218">
        <f t="shared" si="48"/>
        <v>0</v>
      </c>
      <c r="T60" s="218">
        <f t="shared" si="48"/>
        <v>0</v>
      </c>
      <c r="U60" s="218">
        <f t="shared" si="48"/>
        <v>0</v>
      </c>
      <c r="V60" s="218">
        <f t="shared" si="48"/>
        <v>0</v>
      </c>
      <c r="W60" s="218">
        <f t="shared" si="48"/>
        <v>0</v>
      </c>
      <c r="X60" s="218">
        <f t="shared" si="48"/>
        <v>0</v>
      </c>
      <c r="Y60" s="218">
        <f t="shared" si="48"/>
        <v>0</v>
      </c>
      <c r="Z60" s="214">
        <f t="shared" si="34"/>
        <v>273952.84399999998</v>
      </c>
      <c r="AA60" s="218">
        <f t="shared" ref="AA60:BI60" si="49">IF(AA$26&gt;0,AA36*$C$9*$C$8/$C$6,0)*AA$25</f>
        <v>1320</v>
      </c>
      <c r="AB60" s="218">
        <f t="shared" si="49"/>
        <v>0</v>
      </c>
      <c r="AC60" s="218">
        <f t="shared" si="49"/>
        <v>0</v>
      </c>
      <c r="AD60" s="218">
        <f t="shared" si="49"/>
        <v>0</v>
      </c>
      <c r="AE60" s="218">
        <f t="shared" si="49"/>
        <v>6625.1239999999998</v>
      </c>
      <c r="AF60" s="218">
        <f t="shared" si="49"/>
        <v>6625.1239999999998</v>
      </c>
      <c r="AG60" s="218">
        <f t="shared" si="49"/>
        <v>6792.3680000000004</v>
      </c>
      <c r="AH60" s="218">
        <f t="shared" si="49"/>
        <v>6625.1239999999998</v>
      </c>
      <c r="AI60" s="218">
        <f t="shared" si="49"/>
        <v>19173.483999999997</v>
      </c>
      <c r="AJ60" s="218">
        <f t="shared" si="49"/>
        <v>0</v>
      </c>
      <c r="AK60" s="218">
        <f t="shared" si="49"/>
        <v>0</v>
      </c>
      <c r="AL60" s="218">
        <f t="shared" si="49"/>
        <v>0</v>
      </c>
      <c r="AM60" s="218">
        <f t="shared" si="49"/>
        <v>0</v>
      </c>
      <c r="AN60" s="218">
        <f t="shared" si="49"/>
        <v>0</v>
      </c>
      <c r="AO60" s="218">
        <f t="shared" si="49"/>
        <v>0</v>
      </c>
      <c r="AP60" s="218">
        <f t="shared" si="49"/>
        <v>0</v>
      </c>
      <c r="AQ60" s="218">
        <f t="shared" si="49"/>
        <v>0</v>
      </c>
      <c r="AR60" s="218">
        <f t="shared" si="49"/>
        <v>0</v>
      </c>
      <c r="AS60" s="218">
        <f t="shared" si="49"/>
        <v>22002.859999999997</v>
      </c>
      <c r="AT60" s="218">
        <f t="shared" si="49"/>
        <v>16060.967999999997</v>
      </c>
      <c r="AU60" s="218">
        <f t="shared" si="49"/>
        <v>5593.5</v>
      </c>
      <c r="AV60" s="218">
        <f t="shared" si="49"/>
        <v>0</v>
      </c>
      <c r="AW60" s="218">
        <f t="shared" si="49"/>
        <v>0</v>
      </c>
      <c r="AX60" s="218">
        <f t="shared" si="49"/>
        <v>0</v>
      </c>
      <c r="AY60" s="218">
        <f t="shared" si="49"/>
        <v>15428.644</v>
      </c>
      <c r="AZ60" s="218">
        <f t="shared" si="49"/>
        <v>0</v>
      </c>
      <c r="BA60" s="218">
        <f t="shared" si="49"/>
        <v>0</v>
      </c>
      <c r="BB60" s="218">
        <f t="shared" si="49"/>
        <v>0</v>
      </c>
      <c r="BC60" s="218">
        <f t="shared" si="49"/>
        <v>8878.5730000000003</v>
      </c>
      <c r="BD60" s="218">
        <f t="shared" si="49"/>
        <v>9217.4279999999981</v>
      </c>
      <c r="BE60" s="218">
        <f t="shared" si="49"/>
        <v>3100.328</v>
      </c>
      <c r="BF60" s="218">
        <f t="shared" si="49"/>
        <v>24257.683999999997</v>
      </c>
      <c r="BG60" s="218">
        <f t="shared" si="49"/>
        <v>0</v>
      </c>
      <c r="BH60" s="218">
        <f t="shared" si="49"/>
        <v>0</v>
      </c>
      <c r="BI60" s="218">
        <f t="shared" si="49"/>
        <v>0</v>
      </c>
      <c r="BJ60" s="153">
        <f t="shared" si="27"/>
        <v>151701.209</v>
      </c>
      <c r="BK60" s="218">
        <f t="shared" si="28"/>
        <v>30774.568000000003</v>
      </c>
      <c r="BL60" s="218">
        <f t="shared" si="28"/>
        <v>25212</v>
      </c>
      <c r="BM60" s="218">
        <f t="shared" si="28"/>
        <v>18502.307999999997</v>
      </c>
      <c r="BN60" s="218">
        <f t="shared" si="28"/>
        <v>31910.164000000001</v>
      </c>
      <c r="BO60" s="218">
        <f t="shared" si="28"/>
        <v>0</v>
      </c>
      <c r="BP60" s="218">
        <f t="shared" si="28"/>
        <v>0</v>
      </c>
      <c r="BQ60" s="218">
        <f t="shared" si="28"/>
        <v>0</v>
      </c>
      <c r="BR60" s="153">
        <f t="shared" si="29"/>
        <v>106399.03999999999</v>
      </c>
      <c r="BS60" s="153">
        <f t="shared" si="30"/>
        <v>258100.24900000001</v>
      </c>
      <c r="BT60" s="249">
        <f t="shared" si="31"/>
        <v>560163.98900000006</v>
      </c>
    </row>
    <row r="61" spans="1:72">
      <c r="A61" s="76"/>
      <c r="B61" s="716"/>
      <c r="C61" s="216">
        <v>2018</v>
      </c>
      <c r="D61" s="218">
        <f t="shared" si="24"/>
        <v>28110.896000000001</v>
      </c>
      <c r="E61" s="218">
        <f t="shared" si="24"/>
        <v>0</v>
      </c>
      <c r="F61" s="214">
        <f t="shared" si="32"/>
        <v>28110.896000000001</v>
      </c>
      <c r="G61" s="218">
        <f t="shared" ref="G61:Y61" si="50">IF(G$26&gt;0,G37*$C$9*$C$8/$C$6,0)*G$25</f>
        <v>31632.083999999995</v>
      </c>
      <c r="H61" s="218">
        <f t="shared" si="50"/>
        <v>34751.552000000003</v>
      </c>
      <c r="I61" s="218">
        <f t="shared" si="50"/>
        <v>33885.5</v>
      </c>
      <c r="J61" s="218">
        <f t="shared" si="50"/>
        <v>33885.5</v>
      </c>
      <c r="K61" s="218">
        <f t="shared" si="50"/>
        <v>30245.599999999999</v>
      </c>
      <c r="L61" s="218">
        <f t="shared" si="50"/>
        <v>30013.588</v>
      </c>
      <c r="M61" s="218">
        <f t="shared" si="50"/>
        <v>22867.02</v>
      </c>
      <c r="N61" s="218">
        <f t="shared" si="50"/>
        <v>30245.599999999999</v>
      </c>
      <c r="O61" s="218">
        <f t="shared" si="50"/>
        <v>26426.400000000001</v>
      </c>
      <c r="P61" s="218">
        <f t="shared" si="50"/>
        <v>0</v>
      </c>
      <c r="Q61" s="218">
        <f t="shared" si="50"/>
        <v>0</v>
      </c>
      <c r="R61" s="218">
        <f t="shared" si="50"/>
        <v>0</v>
      </c>
      <c r="S61" s="218">
        <f t="shared" si="50"/>
        <v>0</v>
      </c>
      <c r="T61" s="218">
        <f t="shared" si="50"/>
        <v>0</v>
      </c>
      <c r="U61" s="218">
        <f t="shared" si="50"/>
        <v>0</v>
      </c>
      <c r="V61" s="218">
        <f t="shared" si="50"/>
        <v>0</v>
      </c>
      <c r="W61" s="218">
        <f t="shared" si="50"/>
        <v>0</v>
      </c>
      <c r="X61" s="218">
        <f t="shared" si="50"/>
        <v>0</v>
      </c>
      <c r="Y61" s="218">
        <f t="shared" si="50"/>
        <v>0</v>
      </c>
      <c r="Z61" s="214">
        <f t="shared" si="34"/>
        <v>273952.84399999998</v>
      </c>
      <c r="AA61" s="218">
        <f t="shared" ref="AA61:BI61" si="51">IF(AA$26&gt;0,AA37*$C$9*$C$8/$C$6,0)*AA$25</f>
        <v>1320</v>
      </c>
      <c r="AB61" s="218">
        <f t="shared" si="51"/>
        <v>0</v>
      </c>
      <c r="AC61" s="218">
        <f t="shared" si="51"/>
        <v>0</v>
      </c>
      <c r="AD61" s="218">
        <f t="shared" si="51"/>
        <v>0</v>
      </c>
      <c r="AE61" s="218">
        <f t="shared" si="51"/>
        <v>0</v>
      </c>
      <c r="AF61" s="218">
        <f t="shared" si="51"/>
        <v>0</v>
      </c>
      <c r="AG61" s="218">
        <f t="shared" si="51"/>
        <v>0</v>
      </c>
      <c r="AH61" s="218">
        <f t="shared" si="51"/>
        <v>0</v>
      </c>
      <c r="AI61" s="218">
        <f t="shared" si="51"/>
        <v>19173.483999999997</v>
      </c>
      <c r="AJ61" s="218">
        <f t="shared" si="51"/>
        <v>0</v>
      </c>
      <c r="AK61" s="218">
        <f t="shared" si="51"/>
        <v>0</v>
      </c>
      <c r="AL61" s="218">
        <f t="shared" si="51"/>
        <v>0</v>
      </c>
      <c r="AM61" s="218">
        <f t="shared" si="51"/>
        <v>0</v>
      </c>
      <c r="AN61" s="218">
        <f t="shared" si="51"/>
        <v>0</v>
      </c>
      <c r="AO61" s="218">
        <f t="shared" si="51"/>
        <v>0</v>
      </c>
      <c r="AP61" s="218">
        <f t="shared" si="51"/>
        <v>0</v>
      </c>
      <c r="AQ61" s="218">
        <f t="shared" si="51"/>
        <v>0</v>
      </c>
      <c r="AR61" s="218">
        <f t="shared" si="51"/>
        <v>0</v>
      </c>
      <c r="AS61" s="218">
        <f t="shared" si="51"/>
        <v>22002.859999999997</v>
      </c>
      <c r="AT61" s="218">
        <f t="shared" si="51"/>
        <v>16060.967999999997</v>
      </c>
      <c r="AU61" s="218">
        <f t="shared" si="51"/>
        <v>5593.5</v>
      </c>
      <c r="AV61" s="218">
        <f t="shared" si="51"/>
        <v>0</v>
      </c>
      <c r="AW61" s="218">
        <f t="shared" si="51"/>
        <v>0</v>
      </c>
      <c r="AX61" s="218">
        <f t="shared" si="51"/>
        <v>0</v>
      </c>
      <c r="AY61" s="218">
        <f t="shared" si="51"/>
        <v>15428.644</v>
      </c>
      <c r="AZ61" s="218">
        <f t="shared" si="51"/>
        <v>0</v>
      </c>
      <c r="BA61" s="218">
        <f t="shared" si="51"/>
        <v>0</v>
      </c>
      <c r="BB61" s="218">
        <f t="shared" si="51"/>
        <v>0</v>
      </c>
      <c r="BC61" s="218">
        <f t="shared" si="51"/>
        <v>8878.5730000000003</v>
      </c>
      <c r="BD61" s="218">
        <f t="shared" si="51"/>
        <v>9217.4279999999981</v>
      </c>
      <c r="BE61" s="218">
        <f t="shared" si="51"/>
        <v>3100.328</v>
      </c>
      <c r="BF61" s="218">
        <f t="shared" si="51"/>
        <v>24257.683999999997</v>
      </c>
      <c r="BG61" s="218">
        <f t="shared" si="51"/>
        <v>0</v>
      </c>
      <c r="BH61" s="218">
        <f t="shared" si="51"/>
        <v>0</v>
      </c>
      <c r="BI61" s="218">
        <f t="shared" si="51"/>
        <v>0</v>
      </c>
      <c r="BJ61" s="153">
        <f t="shared" si="27"/>
        <v>125033.46899999998</v>
      </c>
      <c r="BK61" s="218">
        <f t="shared" si="28"/>
        <v>30774.568000000003</v>
      </c>
      <c r="BL61" s="218">
        <f t="shared" si="28"/>
        <v>25212</v>
      </c>
      <c r="BM61" s="218">
        <f t="shared" si="28"/>
        <v>18502.307999999997</v>
      </c>
      <c r="BN61" s="218">
        <f t="shared" si="28"/>
        <v>31910.164000000001</v>
      </c>
      <c r="BO61" s="218">
        <f t="shared" si="28"/>
        <v>0</v>
      </c>
      <c r="BP61" s="218">
        <f t="shared" si="28"/>
        <v>0</v>
      </c>
      <c r="BQ61" s="218">
        <f t="shared" si="28"/>
        <v>0</v>
      </c>
      <c r="BR61" s="153">
        <f t="shared" si="29"/>
        <v>106399.03999999999</v>
      </c>
      <c r="BS61" s="153">
        <f t="shared" si="30"/>
        <v>231432.50899999996</v>
      </c>
      <c r="BT61" s="249">
        <f t="shared" si="31"/>
        <v>533496.24899999995</v>
      </c>
    </row>
    <row r="62" spans="1:72">
      <c r="A62" s="76"/>
      <c r="B62" s="716"/>
      <c r="C62" s="216">
        <v>2019</v>
      </c>
      <c r="D62" s="218">
        <f t="shared" si="24"/>
        <v>28110.896000000001</v>
      </c>
      <c r="E62" s="218">
        <f t="shared" si="24"/>
        <v>0</v>
      </c>
      <c r="F62" s="214">
        <f t="shared" si="32"/>
        <v>28110.896000000001</v>
      </c>
      <c r="G62" s="218">
        <f t="shared" ref="G62:Y62" si="52">IF(G$26&gt;0,G38*$C$9*$C$8/$C$6,0)*G$25</f>
        <v>31632.083999999995</v>
      </c>
      <c r="H62" s="218">
        <f t="shared" si="52"/>
        <v>34751.552000000003</v>
      </c>
      <c r="I62" s="218">
        <f t="shared" si="52"/>
        <v>33885.5</v>
      </c>
      <c r="J62" s="218">
        <f t="shared" si="52"/>
        <v>33885.5</v>
      </c>
      <c r="K62" s="218">
        <f t="shared" si="52"/>
        <v>30245.599999999999</v>
      </c>
      <c r="L62" s="218">
        <f t="shared" si="52"/>
        <v>30013.588</v>
      </c>
      <c r="M62" s="218">
        <f t="shared" si="52"/>
        <v>22867.02</v>
      </c>
      <c r="N62" s="218">
        <f t="shared" si="52"/>
        <v>30245.599999999999</v>
      </c>
      <c r="O62" s="218">
        <f t="shared" si="52"/>
        <v>26426.400000000001</v>
      </c>
      <c r="P62" s="218">
        <f t="shared" si="52"/>
        <v>0</v>
      </c>
      <c r="Q62" s="218">
        <f t="shared" si="52"/>
        <v>0</v>
      </c>
      <c r="R62" s="218">
        <f t="shared" si="52"/>
        <v>0</v>
      </c>
      <c r="S62" s="218">
        <f t="shared" si="52"/>
        <v>0</v>
      </c>
      <c r="T62" s="218">
        <f t="shared" si="52"/>
        <v>0</v>
      </c>
      <c r="U62" s="218">
        <f t="shared" si="52"/>
        <v>0</v>
      </c>
      <c r="V62" s="218">
        <f t="shared" si="52"/>
        <v>0</v>
      </c>
      <c r="W62" s="218">
        <f t="shared" si="52"/>
        <v>0</v>
      </c>
      <c r="X62" s="218">
        <f t="shared" si="52"/>
        <v>0</v>
      </c>
      <c r="Y62" s="218">
        <f t="shared" si="52"/>
        <v>0</v>
      </c>
      <c r="Z62" s="214">
        <f t="shared" si="34"/>
        <v>273952.84399999998</v>
      </c>
      <c r="AA62" s="218">
        <f t="shared" ref="AA62:BI62" si="53">IF(AA$26&gt;0,AA38*$C$9*$C$8/$C$6,0)*AA$25</f>
        <v>1320</v>
      </c>
      <c r="AB62" s="218">
        <f t="shared" si="53"/>
        <v>0</v>
      </c>
      <c r="AC62" s="218">
        <f t="shared" si="53"/>
        <v>0</v>
      </c>
      <c r="AD62" s="218">
        <f t="shared" si="53"/>
        <v>0</v>
      </c>
      <c r="AE62" s="218">
        <f t="shared" si="53"/>
        <v>0</v>
      </c>
      <c r="AF62" s="218">
        <f t="shared" si="53"/>
        <v>0</v>
      </c>
      <c r="AG62" s="218">
        <f t="shared" si="53"/>
        <v>0</v>
      </c>
      <c r="AH62" s="218">
        <f t="shared" si="53"/>
        <v>0</v>
      </c>
      <c r="AI62" s="218">
        <f t="shared" si="53"/>
        <v>19173.483999999997</v>
      </c>
      <c r="AJ62" s="218">
        <f t="shared" si="53"/>
        <v>0</v>
      </c>
      <c r="AK62" s="218">
        <f t="shared" si="53"/>
        <v>0</v>
      </c>
      <c r="AL62" s="218">
        <f t="shared" si="53"/>
        <v>0</v>
      </c>
      <c r="AM62" s="218">
        <f t="shared" si="53"/>
        <v>0</v>
      </c>
      <c r="AN62" s="218">
        <f t="shared" si="53"/>
        <v>0</v>
      </c>
      <c r="AO62" s="218">
        <f t="shared" si="53"/>
        <v>0</v>
      </c>
      <c r="AP62" s="218">
        <f t="shared" si="53"/>
        <v>0</v>
      </c>
      <c r="AQ62" s="218">
        <f t="shared" si="53"/>
        <v>0</v>
      </c>
      <c r="AR62" s="218">
        <f t="shared" si="53"/>
        <v>0</v>
      </c>
      <c r="AS62" s="218">
        <f t="shared" si="53"/>
        <v>22002.859999999997</v>
      </c>
      <c r="AT62" s="218">
        <f t="shared" si="53"/>
        <v>16060.967999999997</v>
      </c>
      <c r="AU62" s="218">
        <f t="shared" si="53"/>
        <v>5593.5</v>
      </c>
      <c r="AV62" s="218">
        <f t="shared" si="53"/>
        <v>0</v>
      </c>
      <c r="AW62" s="218">
        <f t="shared" si="53"/>
        <v>0</v>
      </c>
      <c r="AX62" s="218">
        <f t="shared" si="53"/>
        <v>0</v>
      </c>
      <c r="AY62" s="218">
        <f t="shared" si="53"/>
        <v>15428.644</v>
      </c>
      <c r="AZ62" s="218">
        <f t="shared" si="53"/>
        <v>0</v>
      </c>
      <c r="BA62" s="218">
        <f t="shared" si="53"/>
        <v>0</v>
      </c>
      <c r="BB62" s="218">
        <f t="shared" si="53"/>
        <v>0</v>
      </c>
      <c r="BC62" s="218">
        <f t="shared" si="53"/>
        <v>8878.5730000000003</v>
      </c>
      <c r="BD62" s="218">
        <f t="shared" si="53"/>
        <v>9217.4279999999981</v>
      </c>
      <c r="BE62" s="218">
        <f t="shared" si="53"/>
        <v>3100.328</v>
      </c>
      <c r="BF62" s="218">
        <f t="shared" si="53"/>
        <v>24257.683999999997</v>
      </c>
      <c r="BG62" s="218">
        <f t="shared" si="53"/>
        <v>0</v>
      </c>
      <c r="BH62" s="218">
        <f t="shared" si="53"/>
        <v>0</v>
      </c>
      <c r="BI62" s="218">
        <f t="shared" si="53"/>
        <v>0</v>
      </c>
      <c r="BJ62" s="153">
        <f t="shared" si="27"/>
        <v>125033.46899999998</v>
      </c>
      <c r="BK62" s="218">
        <f t="shared" si="28"/>
        <v>30774.568000000003</v>
      </c>
      <c r="BL62" s="218">
        <f t="shared" si="28"/>
        <v>25212</v>
      </c>
      <c r="BM62" s="218">
        <f t="shared" si="28"/>
        <v>18502.307999999997</v>
      </c>
      <c r="BN62" s="218">
        <f t="shared" si="28"/>
        <v>31910.164000000001</v>
      </c>
      <c r="BO62" s="218">
        <f t="shared" si="28"/>
        <v>0</v>
      </c>
      <c r="BP62" s="218">
        <f t="shared" si="28"/>
        <v>0</v>
      </c>
      <c r="BQ62" s="218">
        <f t="shared" si="28"/>
        <v>0</v>
      </c>
      <c r="BR62" s="153">
        <f t="shared" si="29"/>
        <v>106399.03999999999</v>
      </c>
      <c r="BS62" s="153">
        <f t="shared" si="30"/>
        <v>231432.50899999996</v>
      </c>
      <c r="BT62" s="249">
        <f t="shared" si="31"/>
        <v>533496.24899999995</v>
      </c>
    </row>
    <row r="63" spans="1:72" ht="12.75" customHeight="1" thickBot="1">
      <c r="A63" s="76"/>
      <c r="B63" s="716"/>
      <c r="C63" s="274">
        <v>2020</v>
      </c>
      <c r="D63" s="232">
        <f t="shared" si="24"/>
        <v>28110.896000000001</v>
      </c>
      <c r="E63" s="232">
        <f t="shared" si="24"/>
        <v>0</v>
      </c>
      <c r="F63" s="219">
        <f t="shared" si="32"/>
        <v>28110.896000000001</v>
      </c>
      <c r="G63" s="232">
        <f t="shared" ref="G63:Y63" si="54">IF(G$26&gt;0,G39*$C$9*$C$8/$C$6,0)*G$25</f>
        <v>31632.083999999995</v>
      </c>
      <c r="H63" s="232">
        <f t="shared" si="54"/>
        <v>34751.552000000003</v>
      </c>
      <c r="I63" s="232">
        <f t="shared" si="54"/>
        <v>33885.5</v>
      </c>
      <c r="J63" s="232">
        <f t="shared" si="54"/>
        <v>33885.5</v>
      </c>
      <c r="K63" s="232">
        <f t="shared" si="54"/>
        <v>30245.599999999999</v>
      </c>
      <c r="L63" s="232">
        <f t="shared" si="54"/>
        <v>30013.588</v>
      </c>
      <c r="M63" s="232">
        <f t="shared" si="54"/>
        <v>22867.02</v>
      </c>
      <c r="N63" s="232">
        <f t="shared" si="54"/>
        <v>30245.599999999999</v>
      </c>
      <c r="O63" s="232">
        <f t="shared" si="54"/>
        <v>26426.400000000001</v>
      </c>
      <c r="P63" s="232">
        <f t="shared" si="54"/>
        <v>0</v>
      </c>
      <c r="Q63" s="232">
        <f t="shared" si="54"/>
        <v>0</v>
      </c>
      <c r="R63" s="232">
        <f t="shared" si="54"/>
        <v>0</v>
      </c>
      <c r="S63" s="232">
        <f t="shared" si="54"/>
        <v>0</v>
      </c>
      <c r="T63" s="232">
        <f t="shared" si="54"/>
        <v>0</v>
      </c>
      <c r="U63" s="232">
        <f t="shared" si="54"/>
        <v>0</v>
      </c>
      <c r="V63" s="232">
        <f t="shared" si="54"/>
        <v>0</v>
      </c>
      <c r="W63" s="232">
        <f t="shared" si="54"/>
        <v>0</v>
      </c>
      <c r="X63" s="232">
        <f t="shared" si="54"/>
        <v>0</v>
      </c>
      <c r="Y63" s="232">
        <f t="shared" si="54"/>
        <v>0</v>
      </c>
      <c r="Z63" s="219">
        <f t="shared" si="34"/>
        <v>273952.84399999998</v>
      </c>
      <c r="AA63" s="232">
        <f t="shared" ref="AA63:BI63" si="55">IF(AA$26&gt;0,AA39*$C$9*$C$8/$C$6,0)*AA$25</f>
        <v>1320</v>
      </c>
      <c r="AB63" s="232">
        <f t="shared" si="55"/>
        <v>0</v>
      </c>
      <c r="AC63" s="232">
        <f t="shared" si="55"/>
        <v>0</v>
      </c>
      <c r="AD63" s="232">
        <f t="shared" si="55"/>
        <v>0</v>
      </c>
      <c r="AE63" s="232">
        <f t="shared" si="55"/>
        <v>0</v>
      </c>
      <c r="AF63" s="232">
        <f t="shared" si="55"/>
        <v>0</v>
      </c>
      <c r="AG63" s="232">
        <f t="shared" si="55"/>
        <v>0</v>
      </c>
      <c r="AH63" s="232">
        <f t="shared" si="55"/>
        <v>0</v>
      </c>
      <c r="AI63" s="232">
        <f t="shared" si="55"/>
        <v>19173.483999999997</v>
      </c>
      <c r="AJ63" s="232">
        <f t="shared" si="55"/>
        <v>0</v>
      </c>
      <c r="AK63" s="232">
        <f t="shared" si="55"/>
        <v>0</v>
      </c>
      <c r="AL63" s="232">
        <f t="shared" si="55"/>
        <v>0</v>
      </c>
      <c r="AM63" s="232">
        <f t="shared" si="55"/>
        <v>0</v>
      </c>
      <c r="AN63" s="232">
        <f t="shared" si="55"/>
        <v>0</v>
      </c>
      <c r="AO63" s="232">
        <f t="shared" si="55"/>
        <v>0</v>
      </c>
      <c r="AP63" s="232">
        <f t="shared" si="55"/>
        <v>0</v>
      </c>
      <c r="AQ63" s="232">
        <f t="shared" si="55"/>
        <v>0</v>
      </c>
      <c r="AR63" s="232">
        <f t="shared" si="55"/>
        <v>0</v>
      </c>
      <c r="AS63" s="232">
        <f t="shared" si="55"/>
        <v>22002.859999999997</v>
      </c>
      <c r="AT63" s="232">
        <f t="shared" si="55"/>
        <v>16060.967999999997</v>
      </c>
      <c r="AU63" s="232">
        <f t="shared" si="55"/>
        <v>5593.5</v>
      </c>
      <c r="AV63" s="232">
        <f t="shared" si="55"/>
        <v>0</v>
      </c>
      <c r="AW63" s="232">
        <f t="shared" si="55"/>
        <v>0</v>
      </c>
      <c r="AX63" s="232">
        <f t="shared" si="55"/>
        <v>0</v>
      </c>
      <c r="AY63" s="232">
        <f t="shared" si="55"/>
        <v>15428.644</v>
      </c>
      <c r="AZ63" s="232">
        <f t="shared" si="55"/>
        <v>0</v>
      </c>
      <c r="BA63" s="232">
        <f t="shared" si="55"/>
        <v>0</v>
      </c>
      <c r="BB63" s="232">
        <f t="shared" si="55"/>
        <v>0</v>
      </c>
      <c r="BC63" s="232">
        <f t="shared" si="55"/>
        <v>8878.5730000000003</v>
      </c>
      <c r="BD63" s="232">
        <f t="shared" si="55"/>
        <v>9217.4279999999981</v>
      </c>
      <c r="BE63" s="232">
        <f t="shared" si="55"/>
        <v>3100.328</v>
      </c>
      <c r="BF63" s="232">
        <f t="shared" si="55"/>
        <v>24257.683999999997</v>
      </c>
      <c r="BG63" s="232">
        <f t="shared" si="55"/>
        <v>0</v>
      </c>
      <c r="BH63" s="232">
        <f t="shared" si="55"/>
        <v>0</v>
      </c>
      <c r="BI63" s="232">
        <f t="shared" si="55"/>
        <v>0</v>
      </c>
      <c r="BJ63" s="227">
        <f t="shared" si="27"/>
        <v>125033.46899999998</v>
      </c>
      <c r="BK63" s="232">
        <f t="shared" si="28"/>
        <v>30774.568000000003</v>
      </c>
      <c r="BL63" s="232">
        <f t="shared" si="28"/>
        <v>25212</v>
      </c>
      <c r="BM63" s="232">
        <f t="shared" si="28"/>
        <v>18502.307999999997</v>
      </c>
      <c r="BN63" s="232">
        <f t="shared" si="28"/>
        <v>31910.164000000001</v>
      </c>
      <c r="BO63" s="232">
        <f t="shared" si="28"/>
        <v>0</v>
      </c>
      <c r="BP63" s="232">
        <f t="shared" si="28"/>
        <v>0</v>
      </c>
      <c r="BQ63" s="232">
        <f t="shared" si="28"/>
        <v>0</v>
      </c>
      <c r="BR63" s="227">
        <f t="shared" si="29"/>
        <v>106399.03999999999</v>
      </c>
      <c r="BS63" s="227">
        <f t="shared" si="30"/>
        <v>231432.50899999996</v>
      </c>
      <c r="BT63" s="276">
        <f t="shared" si="31"/>
        <v>533496.24899999995</v>
      </c>
    </row>
    <row r="64" spans="1:72" ht="15.75" customHeight="1" thickTop="1">
      <c r="A64" s="76"/>
      <c r="B64" s="715" t="s">
        <v>833</v>
      </c>
      <c r="C64" s="220">
        <v>2009</v>
      </c>
      <c r="D64" s="221">
        <f t="shared" ref="D64:AI64" si="56">D52+D40</f>
        <v>28110.896000000001</v>
      </c>
      <c r="E64" s="221">
        <f t="shared" si="56"/>
        <v>44235.986666666671</v>
      </c>
      <c r="F64" s="222">
        <f t="shared" si="56"/>
        <v>72346.882666666672</v>
      </c>
      <c r="G64" s="221">
        <f t="shared" si="56"/>
        <v>31632.083999999995</v>
      </c>
      <c r="H64" s="221">
        <f t="shared" si="56"/>
        <v>34751.552000000003</v>
      </c>
      <c r="I64" s="221">
        <f t="shared" si="56"/>
        <v>33885.5</v>
      </c>
      <c r="J64" s="221">
        <f t="shared" si="56"/>
        <v>33884.400000000001</v>
      </c>
      <c r="K64" s="221">
        <f t="shared" si="56"/>
        <v>30245.599999999999</v>
      </c>
      <c r="L64" s="221">
        <f t="shared" si="56"/>
        <v>30013.588</v>
      </c>
      <c r="M64" s="221">
        <f t="shared" si="56"/>
        <v>22867.02</v>
      </c>
      <c r="N64" s="221">
        <f t="shared" si="56"/>
        <v>30245.599999999999</v>
      </c>
      <c r="O64" s="221">
        <f t="shared" si="56"/>
        <v>114514.4</v>
      </c>
      <c r="P64" s="221">
        <f t="shared" si="56"/>
        <v>85696.6</v>
      </c>
      <c r="Q64" s="221">
        <f t="shared" si="56"/>
        <v>74286.666666666672</v>
      </c>
      <c r="R64" s="221">
        <f t="shared" si="56"/>
        <v>0</v>
      </c>
      <c r="S64" s="221">
        <f t="shared" si="56"/>
        <v>0</v>
      </c>
      <c r="T64" s="221">
        <f t="shared" si="56"/>
        <v>0</v>
      </c>
      <c r="U64" s="221">
        <f t="shared" si="56"/>
        <v>0</v>
      </c>
      <c r="V64" s="221">
        <f t="shared" si="56"/>
        <v>0</v>
      </c>
      <c r="W64" s="221">
        <f t="shared" si="56"/>
        <v>0</v>
      </c>
      <c r="X64" s="221">
        <f t="shared" si="56"/>
        <v>0</v>
      </c>
      <c r="Y64" s="221">
        <f t="shared" si="56"/>
        <v>0</v>
      </c>
      <c r="Z64" s="222">
        <f t="shared" si="56"/>
        <v>522023.01066666667</v>
      </c>
      <c r="AA64" s="221">
        <f t="shared" si="56"/>
        <v>1320</v>
      </c>
      <c r="AB64" s="221">
        <f t="shared" si="56"/>
        <v>0</v>
      </c>
      <c r="AC64" s="221">
        <f t="shared" si="56"/>
        <v>120020.70666666665</v>
      </c>
      <c r="AD64" s="221">
        <f t="shared" si="56"/>
        <v>0</v>
      </c>
      <c r="AE64" s="221">
        <f t="shared" si="56"/>
        <v>6625.1239999999998</v>
      </c>
      <c r="AF64" s="221">
        <f t="shared" si="56"/>
        <v>6625.1239999999998</v>
      </c>
      <c r="AG64" s="221">
        <f t="shared" si="56"/>
        <v>6792.3680000000004</v>
      </c>
      <c r="AH64" s="221">
        <f t="shared" si="56"/>
        <v>6625.1239999999998</v>
      </c>
      <c r="AI64" s="221">
        <f t="shared" si="56"/>
        <v>19173.483999999997</v>
      </c>
      <c r="AJ64" s="221">
        <f t="shared" ref="AJ64:BT64" si="57">AJ52+AJ40</f>
        <v>0</v>
      </c>
      <c r="AK64" s="221">
        <f t="shared" si="57"/>
        <v>0</v>
      </c>
      <c r="AL64" s="221">
        <f t="shared" si="57"/>
        <v>0</v>
      </c>
      <c r="AM64" s="221">
        <f t="shared" si="57"/>
        <v>0</v>
      </c>
      <c r="AN64" s="221">
        <f t="shared" si="57"/>
        <v>0</v>
      </c>
      <c r="AO64" s="221">
        <f t="shared" si="57"/>
        <v>0</v>
      </c>
      <c r="AP64" s="221">
        <f t="shared" si="57"/>
        <v>0</v>
      </c>
      <c r="AQ64" s="221">
        <f t="shared" si="57"/>
        <v>76486.666666666672</v>
      </c>
      <c r="AR64" s="221">
        <f t="shared" si="57"/>
        <v>0</v>
      </c>
      <c r="AS64" s="221">
        <f t="shared" si="57"/>
        <v>14455.76</v>
      </c>
      <c r="AT64" s="221">
        <f t="shared" si="57"/>
        <v>16060.967999999997</v>
      </c>
      <c r="AU64" s="221">
        <f t="shared" si="57"/>
        <v>5593.5</v>
      </c>
      <c r="AV64" s="221">
        <f t="shared" si="57"/>
        <v>0</v>
      </c>
      <c r="AW64" s="221">
        <f t="shared" si="57"/>
        <v>0</v>
      </c>
      <c r="AX64" s="221">
        <f t="shared" si="57"/>
        <v>0</v>
      </c>
      <c r="AY64" s="221">
        <f t="shared" si="57"/>
        <v>15428.644</v>
      </c>
      <c r="AZ64" s="221">
        <f t="shared" si="57"/>
        <v>0</v>
      </c>
      <c r="BA64" s="221">
        <f t="shared" si="57"/>
        <v>0</v>
      </c>
      <c r="BB64" s="221">
        <f t="shared" si="57"/>
        <v>1202.6666666666667</v>
      </c>
      <c r="BC64" s="221">
        <f t="shared" si="57"/>
        <v>8878.5730000000003</v>
      </c>
      <c r="BD64" s="221">
        <f t="shared" si="57"/>
        <v>9217.4279999999981</v>
      </c>
      <c r="BE64" s="221">
        <f t="shared" si="57"/>
        <v>3100.328</v>
      </c>
      <c r="BF64" s="221">
        <f t="shared" si="57"/>
        <v>24257.683999999997</v>
      </c>
      <c r="BG64" s="221">
        <f t="shared" si="57"/>
        <v>0</v>
      </c>
      <c r="BH64" s="221">
        <f t="shared" si="57"/>
        <v>0</v>
      </c>
      <c r="BI64" s="221">
        <f t="shared" si="57"/>
        <v>0</v>
      </c>
      <c r="BJ64" s="222">
        <f t="shared" si="57"/>
        <v>341864.14899999998</v>
      </c>
      <c r="BK64" s="221">
        <f t="shared" si="57"/>
        <v>30774.568000000003</v>
      </c>
      <c r="BL64" s="221">
        <f t="shared" si="57"/>
        <v>25212</v>
      </c>
      <c r="BM64" s="221">
        <f t="shared" si="57"/>
        <v>18502.307999999997</v>
      </c>
      <c r="BN64" s="221">
        <f t="shared" si="57"/>
        <v>31910.164000000001</v>
      </c>
      <c r="BO64" s="221">
        <f t="shared" si="57"/>
        <v>3769.3333333333335</v>
      </c>
      <c r="BP64" s="221">
        <f t="shared" si="57"/>
        <v>0</v>
      </c>
      <c r="BQ64" s="221">
        <f t="shared" si="57"/>
        <v>21574.666666666668</v>
      </c>
      <c r="BR64" s="222">
        <f t="shared" si="57"/>
        <v>131743.03999999998</v>
      </c>
      <c r="BS64" s="222">
        <f t="shared" si="57"/>
        <v>473607.18899999995</v>
      </c>
      <c r="BT64" s="277">
        <f t="shared" si="57"/>
        <v>1067977.0823333333</v>
      </c>
    </row>
    <row r="65" spans="1:72">
      <c r="A65" s="76"/>
      <c r="B65" s="716"/>
      <c r="C65" s="216">
        <v>2010</v>
      </c>
      <c r="D65" s="218">
        <f t="shared" ref="D65:AI65" si="58">D53+D41</f>
        <v>28110.896000000001</v>
      </c>
      <c r="E65" s="218">
        <f t="shared" si="58"/>
        <v>44235.986666666671</v>
      </c>
      <c r="F65" s="214">
        <f t="shared" si="58"/>
        <v>72346.882666666672</v>
      </c>
      <c r="G65" s="218">
        <f t="shared" si="58"/>
        <v>31632.083999999995</v>
      </c>
      <c r="H65" s="218">
        <f t="shared" si="58"/>
        <v>34751.552000000003</v>
      </c>
      <c r="I65" s="218">
        <f t="shared" si="58"/>
        <v>33885.5</v>
      </c>
      <c r="J65" s="218">
        <f t="shared" si="58"/>
        <v>33884.400000000001</v>
      </c>
      <c r="K65" s="218">
        <f t="shared" si="58"/>
        <v>30245.599999999999</v>
      </c>
      <c r="L65" s="218">
        <f t="shared" si="58"/>
        <v>30013.588</v>
      </c>
      <c r="M65" s="218">
        <f t="shared" si="58"/>
        <v>22867.02</v>
      </c>
      <c r="N65" s="218">
        <f t="shared" si="58"/>
        <v>30245.599999999999</v>
      </c>
      <c r="O65" s="218">
        <f t="shared" si="58"/>
        <v>114514.4</v>
      </c>
      <c r="P65" s="218">
        <f t="shared" si="58"/>
        <v>85696.6</v>
      </c>
      <c r="Q65" s="218">
        <f t="shared" si="58"/>
        <v>74286.666666666672</v>
      </c>
      <c r="R65" s="218">
        <f t="shared" si="58"/>
        <v>0</v>
      </c>
      <c r="S65" s="218">
        <f t="shared" si="58"/>
        <v>0</v>
      </c>
      <c r="T65" s="218">
        <f t="shared" si="58"/>
        <v>0</v>
      </c>
      <c r="U65" s="218">
        <f t="shared" si="58"/>
        <v>0</v>
      </c>
      <c r="V65" s="218">
        <f t="shared" si="58"/>
        <v>0</v>
      </c>
      <c r="W65" s="218">
        <f t="shared" si="58"/>
        <v>0</v>
      </c>
      <c r="X65" s="218">
        <f t="shared" si="58"/>
        <v>0</v>
      </c>
      <c r="Y65" s="218">
        <f t="shared" si="58"/>
        <v>0</v>
      </c>
      <c r="Z65" s="214">
        <f t="shared" si="58"/>
        <v>522023.01066666667</v>
      </c>
      <c r="AA65" s="218">
        <f t="shared" si="58"/>
        <v>1320</v>
      </c>
      <c r="AB65" s="218">
        <f t="shared" si="58"/>
        <v>0</v>
      </c>
      <c r="AC65" s="218">
        <f t="shared" si="58"/>
        <v>120020.70666666665</v>
      </c>
      <c r="AD65" s="218">
        <f t="shared" si="58"/>
        <v>0</v>
      </c>
      <c r="AE65" s="218">
        <f t="shared" si="58"/>
        <v>6625.1239999999998</v>
      </c>
      <c r="AF65" s="218">
        <f t="shared" si="58"/>
        <v>6625.1239999999998</v>
      </c>
      <c r="AG65" s="218">
        <f t="shared" si="58"/>
        <v>6792.3680000000004</v>
      </c>
      <c r="AH65" s="218">
        <f t="shared" si="58"/>
        <v>6625.1239999999998</v>
      </c>
      <c r="AI65" s="218">
        <f t="shared" si="58"/>
        <v>19173.483999999997</v>
      </c>
      <c r="AJ65" s="218">
        <f t="shared" ref="AJ65:BT65" si="59">AJ53+AJ41</f>
        <v>0</v>
      </c>
      <c r="AK65" s="218">
        <f t="shared" si="59"/>
        <v>0</v>
      </c>
      <c r="AL65" s="218">
        <f t="shared" si="59"/>
        <v>0</v>
      </c>
      <c r="AM65" s="218">
        <f t="shared" si="59"/>
        <v>0</v>
      </c>
      <c r="AN65" s="218">
        <f t="shared" si="59"/>
        <v>0</v>
      </c>
      <c r="AO65" s="218">
        <f t="shared" si="59"/>
        <v>0</v>
      </c>
      <c r="AP65" s="218">
        <f t="shared" si="59"/>
        <v>0</v>
      </c>
      <c r="AQ65" s="218">
        <f t="shared" si="59"/>
        <v>76486.666666666672</v>
      </c>
      <c r="AR65" s="218">
        <f t="shared" si="59"/>
        <v>0</v>
      </c>
      <c r="AS65" s="218">
        <f t="shared" si="59"/>
        <v>14455.76</v>
      </c>
      <c r="AT65" s="218">
        <f t="shared" si="59"/>
        <v>16060.967999999997</v>
      </c>
      <c r="AU65" s="218">
        <f t="shared" si="59"/>
        <v>5593.5</v>
      </c>
      <c r="AV65" s="218">
        <f t="shared" si="59"/>
        <v>0</v>
      </c>
      <c r="AW65" s="218">
        <f t="shared" si="59"/>
        <v>0</v>
      </c>
      <c r="AX65" s="218">
        <f t="shared" si="59"/>
        <v>0</v>
      </c>
      <c r="AY65" s="218">
        <f t="shared" si="59"/>
        <v>15428.644</v>
      </c>
      <c r="AZ65" s="218">
        <f t="shared" si="59"/>
        <v>0</v>
      </c>
      <c r="BA65" s="218">
        <f t="shared" si="59"/>
        <v>0</v>
      </c>
      <c r="BB65" s="218">
        <f t="shared" si="59"/>
        <v>1202.6666666666667</v>
      </c>
      <c r="BC65" s="218">
        <f t="shared" si="59"/>
        <v>8878.5730000000003</v>
      </c>
      <c r="BD65" s="218">
        <f t="shared" si="59"/>
        <v>9217.4279999999981</v>
      </c>
      <c r="BE65" s="218">
        <f t="shared" si="59"/>
        <v>3100.328</v>
      </c>
      <c r="BF65" s="218">
        <f t="shared" si="59"/>
        <v>24257.683999999997</v>
      </c>
      <c r="BG65" s="218">
        <f t="shared" si="59"/>
        <v>0</v>
      </c>
      <c r="BH65" s="218">
        <f t="shared" si="59"/>
        <v>0</v>
      </c>
      <c r="BI65" s="218">
        <f t="shared" si="59"/>
        <v>0</v>
      </c>
      <c r="BJ65" s="214">
        <f t="shared" si="59"/>
        <v>341864.14899999998</v>
      </c>
      <c r="BK65" s="218">
        <f t="shared" si="59"/>
        <v>30774.568000000003</v>
      </c>
      <c r="BL65" s="218">
        <f t="shared" si="59"/>
        <v>25212</v>
      </c>
      <c r="BM65" s="218">
        <f t="shared" si="59"/>
        <v>18502.307999999997</v>
      </c>
      <c r="BN65" s="218">
        <f t="shared" si="59"/>
        <v>31910.164000000001</v>
      </c>
      <c r="BO65" s="218">
        <f t="shared" si="59"/>
        <v>3769.3333333333335</v>
      </c>
      <c r="BP65" s="218">
        <f t="shared" si="59"/>
        <v>0</v>
      </c>
      <c r="BQ65" s="218">
        <f t="shared" si="59"/>
        <v>21574.666666666668</v>
      </c>
      <c r="BR65" s="214">
        <f t="shared" si="59"/>
        <v>131743.03999999998</v>
      </c>
      <c r="BS65" s="214">
        <f t="shared" si="59"/>
        <v>473607.18899999995</v>
      </c>
      <c r="BT65" s="278">
        <f t="shared" si="59"/>
        <v>1067977.0823333333</v>
      </c>
    </row>
    <row r="66" spans="1:72">
      <c r="A66" s="76"/>
      <c r="B66" s="716"/>
      <c r="C66" s="216">
        <v>2011</v>
      </c>
      <c r="D66" s="218">
        <f t="shared" ref="D66:AI66" si="60">D54+D42</f>
        <v>28110.896000000001</v>
      </c>
      <c r="E66" s="218">
        <f t="shared" si="60"/>
        <v>44235.986666666671</v>
      </c>
      <c r="F66" s="214">
        <f t="shared" si="60"/>
        <v>72346.882666666672</v>
      </c>
      <c r="G66" s="218">
        <f t="shared" si="60"/>
        <v>31632.083999999995</v>
      </c>
      <c r="H66" s="218">
        <f t="shared" si="60"/>
        <v>34751.552000000003</v>
      </c>
      <c r="I66" s="218">
        <f t="shared" si="60"/>
        <v>33885.5</v>
      </c>
      <c r="J66" s="218">
        <f t="shared" si="60"/>
        <v>33885.5</v>
      </c>
      <c r="K66" s="218">
        <f t="shared" si="60"/>
        <v>30245.599999999999</v>
      </c>
      <c r="L66" s="218">
        <f t="shared" si="60"/>
        <v>30013.588</v>
      </c>
      <c r="M66" s="218">
        <f t="shared" si="60"/>
        <v>22867.02</v>
      </c>
      <c r="N66" s="218">
        <f t="shared" si="60"/>
        <v>30245.599999999999</v>
      </c>
      <c r="O66" s="218">
        <f t="shared" si="60"/>
        <v>114514.4</v>
      </c>
      <c r="P66" s="218">
        <f t="shared" si="60"/>
        <v>85696.6</v>
      </c>
      <c r="Q66" s="218">
        <f t="shared" si="60"/>
        <v>74286.666666666672</v>
      </c>
      <c r="R66" s="218">
        <f t="shared" si="60"/>
        <v>0</v>
      </c>
      <c r="S66" s="218">
        <f t="shared" si="60"/>
        <v>0</v>
      </c>
      <c r="T66" s="218">
        <f t="shared" si="60"/>
        <v>0</v>
      </c>
      <c r="U66" s="218">
        <f t="shared" si="60"/>
        <v>0</v>
      </c>
      <c r="V66" s="218">
        <f t="shared" si="60"/>
        <v>0</v>
      </c>
      <c r="W66" s="218">
        <f t="shared" si="60"/>
        <v>0</v>
      </c>
      <c r="X66" s="218">
        <f t="shared" si="60"/>
        <v>0</v>
      </c>
      <c r="Y66" s="218">
        <f t="shared" si="60"/>
        <v>0</v>
      </c>
      <c r="Z66" s="214">
        <f t="shared" si="60"/>
        <v>522024.11066666665</v>
      </c>
      <c r="AA66" s="218">
        <f t="shared" si="60"/>
        <v>1320</v>
      </c>
      <c r="AB66" s="218">
        <f t="shared" si="60"/>
        <v>0</v>
      </c>
      <c r="AC66" s="218">
        <f t="shared" si="60"/>
        <v>120020.70666666665</v>
      </c>
      <c r="AD66" s="218">
        <f t="shared" si="60"/>
        <v>0</v>
      </c>
      <c r="AE66" s="218">
        <f t="shared" si="60"/>
        <v>6625.1239999999998</v>
      </c>
      <c r="AF66" s="218">
        <f t="shared" si="60"/>
        <v>6625.1239999999998</v>
      </c>
      <c r="AG66" s="218">
        <f t="shared" si="60"/>
        <v>6792.3680000000004</v>
      </c>
      <c r="AH66" s="218">
        <f t="shared" si="60"/>
        <v>6625.1239999999998</v>
      </c>
      <c r="AI66" s="218">
        <f t="shared" si="60"/>
        <v>19173.483999999997</v>
      </c>
      <c r="AJ66" s="218">
        <f t="shared" ref="AJ66:BT66" si="61">AJ54+AJ42</f>
        <v>0</v>
      </c>
      <c r="AK66" s="218">
        <f t="shared" si="61"/>
        <v>0</v>
      </c>
      <c r="AL66" s="218">
        <f t="shared" si="61"/>
        <v>0</v>
      </c>
      <c r="AM66" s="218">
        <f t="shared" si="61"/>
        <v>0</v>
      </c>
      <c r="AN66" s="218">
        <f t="shared" si="61"/>
        <v>0</v>
      </c>
      <c r="AO66" s="218">
        <f t="shared" si="61"/>
        <v>0</v>
      </c>
      <c r="AP66" s="218">
        <f t="shared" si="61"/>
        <v>0</v>
      </c>
      <c r="AQ66" s="218">
        <f t="shared" si="61"/>
        <v>76486.666666666672</v>
      </c>
      <c r="AR66" s="218">
        <f t="shared" si="61"/>
        <v>0</v>
      </c>
      <c r="AS66" s="218">
        <f t="shared" si="61"/>
        <v>14455.76</v>
      </c>
      <c r="AT66" s="218">
        <f t="shared" si="61"/>
        <v>16060.967999999997</v>
      </c>
      <c r="AU66" s="218">
        <f t="shared" si="61"/>
        <v>5593.5</v>
      </c>
      <c r="AV66" s="218">
        <f t="shared" si="61"/>
        <v>0</v>
      </c>
      <c r="AW66" s="218">
        <f t="shared" si="61"/>
        <v>0</v>
      </c>
      <c r="AX66" s="218">
        <f t="shared" si="61"/>
        <v>0</v>
      </c>
      <c r="AY66" s="218">
        <f t="shared" si="61"/>
        <v>15428.644</v>
      </c>
      <c r="AZ66" s="218">
        <f t="shared" si="61"/>
        <v>0</v>
      </c>
      <c r="BA66" s="218">
        <f t="shared" si="61"/>
        <v>0</v>
      </c>
      <c r="BB66" s="218">
        <f t="shared" si="61"/>
        <v>1202.6666666666667</v>
      </c>
      <c r="BC66" s="218">
        <f t="shared" si="61"/>
        <v>8878.5730000000003</v>
      </c>
      <c r="BD66" s="218">
        <f t="shared" si="61"/>
        <v>9217.4279999999981</v>
      </c>
      <c r="BE66" s="218">
        <f t="shared" si="61"/>
        <v>3100.328</v>
      </c>
      <c r="BF66" s="218">
        <f t="shared" si="61"/>
        <v>24257.683999999997</v>
      </c>
      <c r="BG66" s="218">
        <f t="shared" si="61"/>
        <v>0</v>
      </c>
      <c r="BH66" s="218">
        <f t="shared" si="61"/>
        <v>0</v>
      </c>
      <c r="BI66" s="218">
        <f t="shared" si="61"/>
        <v>0</v>
      </c>
      <c r="BJ66" s="214">
        <f t="shared" si="61"/>
        <v>341864.14899999998</v>
      </c>
      <c r="BK66" s="218">
        <f t="shared" si="61"/>
        <v>30774.568000000003</v>
      </c>
      <c r="BL66" s="218">
        <f t="shared" si="61"/>
        <v>25212</v>
      </c>
      <c r="BM66" s="218">
        <f t="shared" si="61"/>
        <v>18502.307999999997</v>
      </c>
      <c r="BN66" s="218">
        <f t="shared" si="61"/>
        <v>31910.164000000001</v>
      </c>
      <c r="BO66" s="218">
        <f t="shared" si="61"/>
        <v>3769.3333333333335</v>
      </c>
      <c r="BP66" s="218">
        <f t="shared" si="61"/>
        <v>0</v>
      </c>
      <c r="BQ66" s="218">
        <f t="shared" si="61"/>
        <v>21574.666666666668</v>
      </c>
      <c r="BR66" s="214">
        <f t="shared" si="61"/>
        <v>131743.03999999998</v>
      </c>
      <c r="BS66" s="214">
        <f t="shared" si="61"/>
        <v>473607.18899999995</v>
      </c>
      <c r="BT66" s="278">
        <f t="shared" si="61"/>
        <v>1067978.1823333334</v>
      </c>
    </row>
    <row r="67" spans="1:72">
      <c r="A67" s="76"/>
      <c r="B67" s="716"/>
      <c r="C67" s="216">
        <v>2012</v>
      </c>
      <c r="D67" s="218">
        <f t="shared" ref="D67:AI67" si="62">D55+D43</f>
        <v>28110.896000000001</v>
      </c>
      <c r="E67" s="218">
        <f t="shared" si="62"/>
        <v>44235.986666666671</v>
      </c>
      <c r="F67" s="214">
        <f t="shared" si="62"/>
        <v>72346.882666666672</v>
      </c>
      <c r="G67" s="218">
        <f t="shared" si="62"/>
        <v>31632.083999999995</v>
      </c>
      <c r="H67" s="218">
        <f t="shared" si="62"/>
        <v>34751.552000000003</v>
      </c>
      <c r="I67" s="218">
        <f t="shared" si="62"/>
        <v>33885.5</v>
      </c>
      <c r="J67" s="218">
        <f t="shared" si="62"/>
        <v>33885.5</v>
      </c>
      <c r="K67" s="218">
        <f t="shared" si="62"/>
        <v>30245.599999999999</v>
      </c>
      <c r="L67" s="218">
        <f t="shared" si="62"/>
        <v>30013.588</v>
      </c>
      <c r="M67" s="218">
        <f t="shared" si="62"/>
        <v>22867.02</v>
      </c>
      <c r="N67" s="218">
        <f t="shared" si="62"/>
        <v>30245.599999999999</v>
      </c>
      <c r="O67" s="218">
        <f t="shared" si="62"/>
        <v>114514.4</v>
      </c>
      <c r="P67" s="218">
        <f t="shared" si="62"/>
        <v>85696.6</v>
      </c>
      <c r="Q67" s="218">
        <f t="shared" si="62"/>
        <v>74286.666666666672</v>
      </c>
      <c r="R67" s="218">
        <f t="shared" si="62"/>
        <v>0</v>
      </c>
      <c r="S67" s="218">
        <f t="shared" si="62"/>
        <v>0</v>
      </c>
      <c r="T67" s="218">
        <f t="shared" si="62"/>
        <v>0</v>
      </c>
      <c r="U67" s="218">
        <f t="shared" si="62"/>
        <v>0</v>
      </c>
      <c r="V67" s="218">
        <f t="shared" si="62"/>
        <v>0</v>
      </c>
      <c r="W67" s="218">
        <f t="shared" si="62"/>
        <v>0</v>
      </c>
      <c r="X67" s="218">
        <f t="shared" si="62"/>
        <v>0</v>
      </c>
      <c r="Y67" s="218">
        <f t="shared" si="62"/>
        <v>0</v>
      </c>
      <c r="Z67" s="214">
        <f t="shared" si="62"/>
        <v>522024.11066666665</v>
      </c>
      <c r="AA67" s="218">
        <f t="shared" si="62"/>
        <v>1320</v>
      </c>
      <c r="AB67" s="218">
        <f t="shared" si="62"/>
        <v>0</v>
      </c>
      <c r="AC67" s="218">
        <f t="shared" si="62"/>
        <v>120020.70666666665</v>
      </c>
      <c r="AD67" s="218">
        <f t="shared" si="62"/>
        <v>0</v>
      </c>
      <c r="AE67" s="218">
        <f t="shared" si="62"/>
        <v>6625.1239999999998</v>
      </c>
      <c r="AF67" s="218">
        <f t="shared" si="62"/>
        <v>6625.1239999999998</v>
      </c>
      <c r="AG67" s="218">
        <f t="shared" si="62"/>
        <v>6792.3680000000004</v>
      </c>
      <c r="AH67" s="218">
        <f t="shared" si="62"/>
        <v>6625.1239999999998</v>
      </c>
      <c r="AI67" s="218">
        <f t="shared" si="62"/>
        <v>19173.483999999997</v>
      </c>
      <c r="AJ67" s="218">
        <f t="shared" ref="AJ67:BT67" si="63">AJ55+AJ43</f>
        <v>0</v>
      </c>
      <c r="AK67" s="218">
        <f t="shared" si="63"/>
        <v>0</v>
      </c>
      <c r="AL67" s="218">
        <f t="shared" si="63"/>
        <v>0</v>
      </c>
      <c r="AM67" s="218">
        <f t="shared" si="63"/>
        <v>0</v>
      </c>
      <c r="AN67" s="218">
        <f t="shared" si="63"/>
        <v>0</v>
      </c>
      <c r="AO67" s="218">
        <f t="shared" si="63"/>
        <v>0</v>
      </c>
      <c r="AP67" s="218">
        <f t="shared" si="63"/>
        <v>0</v>
      </c>
      <c r="AQ67" s="218">
        <f t="shared" si="63"/>
        <v>76486.666666666672</v>
      </c>
      <c r="AR67" s="218">
        <f t="shared" si="63"/>
        <v>0</v>
      </c>
      <c r="AS67" s="218">
        <f t="shared" si="63"/>
        <v>14455.76</v>
      </c>
      <c r="AT67" s="218">
        <f t="shared" si="63"/>
        <v>16060.967999999997</v>
      </c>
      <c r="AU67" s="218">
        <f t="shared" si="63"/>
        <v>5593.5</v>
      </c>
      <c r="AV67" s="218">
        <f t="shared" si="63"/>
        <v>0</v>
      </c>
      <c r="AW67" s="218">
        <f t="shared" si="63"/>
        <v>0</v>
      </c>
      <c r="AX67" s="218">
        <f t="shared" si="63"/>
        <v>0</v>
      </c>
      <c r="AY67" s="218">
        <f t="shared" si="63"/>
        <v>15428.644</v>
      </c>
      <c r="AZ67" s="218">
        <f t="shared" si="63"/>
        <v>0</v>
      </c>
      <c r="BA67" s="218">
        <f t="shared" si="63"/>
        <v>0</v>
      </c>
      <c r="BB67" s="218">
        <f t="shared" si="63"/>
        <v>1202.6666666666667</v>
      </c>
      <c r="BC67" s="218">
        <f t="shared" si="63"/>
        <v>8878.5730000000003</v>
      </c>
      <c r="BD67" s="218">
        <f t="shared" si="63"/>
        <v>9217.4279999999981</v>
      </c>
      <c r="BE67" s="218">
        <f t="shared" si="63"/>
        <v>3100.328</v>
      </c>
      <c r="BF67" s="218">
        <f t="shared" si="63"/>
        <v>24257.683999999997</v>
      </c>
      <c r="BG67" s="218">
        <f t="shared" si="63"/>
        <v>0</v>
      </c>
      <c r="BH67" s="218">
        <f t="shared" si="63"/>
        <v>0</v>
      </c>
      <c r="BI67" s="218">
        <f t="shared" si="63"/>
        <v>0</v>
      </c>
      <c r="BJ67" s="214">
        <f t="shared" si="63"/>
        <v>341864.14899999998</v>
      </c>
      <c r="BK67" s="218">
        <f t="shared" si="63"/>
        <v>30774.568000000003</v>
      </c>
      <c r="BL67" s="218">
        <f t="shared" si="63"/>
        <v>25212</v>
      </c>
      <c r="BM67" s="218">
        <f t="shared" si="63"/>
        <v>18502.307999999997</v>
      </c>
      <c r="BN67" s="218">
        <f t="shared" si="63"/>
        <v>31910.164000000001</v>
      </c>
      <c r="BO67" s="218">
        <f t="shared" si="63"/>
        <v>3769.3333333333335</v>
      </c>
      <c r="BP67" s="218">
        <f t="shared" si="63"/>
        <v>0</v>
      </c>
      <c r="BQ67" s="218">
        <f t="shared" si="63"/>
        <v>21574.666666666668</v>
      </c>
      <c r="BR67" s="214">
        <f t="shared" si="63"/>
        <v>131743.03999999998</v>
      </c>
      <c r="BS67" s="214">
        <f t="shared" si="63"/>
        <v>473607.18899999995</v>
      </c>
      <c r="BT67" s="278">
        <f t="shared" si="63"/>
        <v>1067978.1823333334</v>
      </c>
    </row>
    <row r="68" spans="1:72">
      <c r="A68" s="76"/>
      <c r="B68" s="716"/>
      <c r="C68" s="216">
        <v>2013</v>
      </c>
      <c r="D68" s="218">
        <f t="shared" ref="D68:AI68" si="64">D56+D44</f>
        <v>28110.896000000001</v>
      </c>
      <c r="E68" s="218">
        <f t="shared" si="64"/>
        <v>44235.986666666671</v>
      </c>
      <c r="F68" s="214">
        <f t="shared" si="64"/>
        <v>72346.882666666672</v>
      </c>
      <c r="G68" s="218">
        <f t="shared" si="64"/>
        <v>31632.083999999995</v>
      </c>
      <c r="H68" s="218">
        <f t="shared" si="64"/>
        <v>34751.552000000003</v>
      </c>
      <c r="I68" s="218">
        <f t="shared" si="64"/>
        <v>33885.5</v>
      </c>
      <c r="J68" s="218">
        <f t="shared" si="64"/>
        <v>33885.5</v>
      </c>
      <c r="K68" s="218">
        <f t="shared" si="64"/>
        <v>30245.599999999999</v>
      </c>
      <c r="L68" s="218">
        <f t="shared" si="64"/>
        <v>30013.588</v>
      </c>
      <c r="M68" s="218">
        <f t="shared" si="64"/>
        <v>22867.02</v>
      </c>
      <c r="N68" s="218">
        <f t="shared" si="64"/>
        <v>30245.599999999999</v>
      </c>
      <c r="O68" s="218">
        <f t="shared" si="64"/>
        <v>114514.4</v>
      </c>
      <c r="P68" s="218">
        <f t="shared" si="64"/>
        <v>85696.6</v>
      </c>
      <c r="Q68" s="218">
        <f t="shared" si="64"/>
        <v>74286.666666666672</v>
      </c>
      <c r="R68" s="218">
        <f t="shared" si="64"/>
        <v>0</v>
      </c>
      <c r="S68" s="218">
        <f t="shared" si="64"/>
        <v>0</v>
      </c>
      <c r="T68" s="218">
        <f t="shared" si="64"/>
        <v>0</v>
      </c>
      <c r="U68" s="218">
        <f t="shared" si="64"/>
        <v>0</v>
      </c>
      <c r="V68" s="218">
        <f t="shared" si="64"/>
        <v>0</v>
      </c>
      <c r="W68" s="218">
        <f t="shared" si="64"/>
        <v>0</v>
      </c>
      <c r="X68" s="218">
        <f t="shared" si="64"/>
        <v>0</v>
      </c>
      <c r="Y68" s="218">
        <f t="shared" si="64"/>
        <v>0</v>
      </c>
      <c r="Z68" s="214">
        <f t="shared" si="64"/>
        <v>522024.11066666665</v>
      </c>
      <c r="AA68" s="218">
        <f t="shared" si="64"/>
        <v>1320</v>
      </c>
      <c r="AB68" s="218">
        <f t="shared" si="64"/>
        <v>0</v>
      </c>
      <c r="AC68" s="218">
        <f t="shared" si="64"/>
        <v>120020.70666666665</v>
      </c>
      <c r="AD68" s="218">
        <f t="shared" si="64"/>
        <v>0</v>
      </c>
      <c r="AE68" s="218">
        <f t="shared" si="64"/>
        <v>6625.1239999999998</v>
      </c>
      <c r="AF68" s="218">
        <f t="shared" si="64"/>
        <v>6625.1239999999998</v>
      </c>
      <c r="AG68" s="218">
        <f t="shared" si="64"/>
        <v>6792.3680000000004</v>
      </c>
      <c r="AH68" s="218">
        <f t="shared" si="64"/>
        <v>6625.1239999999998</v>
      </c>
      <c r="AI68" s="218">
        <f t="shared" si="64"/>
        <v>19173.483999999997</v>
      </c>
      <c r="AJ68" s="218">
        <f t="shared" ref="AJ68:BT68" si="65">AJ56+AJ44</f>
        <v>0</v>
      </c>
      <c r="AK68" s="218">
        <f t="shared" si="65"/>
        <v>0</v>
      </c>
      <c r="AL68" s="218">
        <f t="shared" si="65"/>
        <v>0</v>
      </c>
      <c r="AM68" s="218">
        <f t="shared" si="65"/>
        <v>0</v>
      </c>
      <c r="AN68" s="218">
        <f t="shared" si="65"/>
        <v>0</v>
      </c>
      <c r="AO68" s="218">
        <f t="shared" si="65"/>
        <v>0</v>
      </c>
      <c r="AP68" s="218">
        <f t="shared" si="65"/>
        <v>0</v>
      </c>
      <c r="AQ68" s="218">
        <f t="shared" si="65"/>
        <v>76486.666666666672</v>
      </c>
      <c r="AR68" s="218">
        <f t="shared" si="65"/>
        <v>0</v>
      </c>
      <c r="AS68" s="218">
        <f t="shared" si="65"/>
        <v>14455.76</v>
      </c>
      <c r="AT68" s="218">
        <f t="shared" si="65"/>
        <v>16060.967999999997</v>
      </c>
      <c r="AU68" s="218">
        <f t="shared" si="65"/>
        <v>5593.5</v>
      </c>
      <c r="AV68" s="218">
        <f t="shared" si="65"/>
        <v>0</v>
      </c>
      <c r="AW68" s="218">
        <f t="shared" si="65"/>
        <v>0</v>
      </c>
      <c r="AX68" s="218">
        <f t="shared" si="65"/>
        <v>0</v>
      </c>
      <c r="AY68" s="218">
        <f t="shared" si="65"/>
        <v>15428.644</v>
      </c>
      <c r="AZ68" s="218">
        <f t="shared" si="65"/>
        <v>0</v>
      </c>
      <c r="BA68" s="218">
        <f t="shared" si="65"/>
        <v>0</v>
      </c>
      <c r="BB68" s="218">
        <f t="shared" si="65"/>
        <v>1202.6666666666667</v>
      </c>
      <c r="BC68" s="218">
        <f t="shared" si="65"/>
        <v>8878.5730000000003</v>
      </c>
      <c r="BD68" s="218">
        <f t="shared" si="65"/>
        <v>9217.4279999999981</v>
      </c>
      <c r="BE68" s="218">
        <f t="shared" si="65"/>
        <v>3100.328</v>
      </c>
      <c r="BF68" s="218">
        <f t="shared" si="65"/>
        <v>24257.683999999997</v>
      </c>
      <c r="BG68" s="218">
        <f t="shared" si="65"/>
        <v>0</v>
      </c>
      <c r="BH68" s="218">
        <f t="shared" si="65"/>
        <v>0</v>
      </c>
      <c r="BI68" s="218">
        <f t="shared" si="65"/>
        <v>0</v>
      </c>
      <c r="BJ68" s="214">
        <f t="shared" si="65"/>
        <v>341864.14899999998</v>
      </c>
      <c r="BK68" s="218">
        <f t="shared" si="65"/>
        <v>30774.568000000003</v>
      </c>
      <c r="BL68" s="218">
        <f t="shared" si="65"/>
        <v>25212</v>
      </c>
      <c r="BM68" s="218">
        <f t="shared" si="65"/>
        <v>18502.307999999997</v>
      </c>
      <c r="BN68" s="218">
        <f t="shared" si="65"/>
        <v>31910.164000000001</v>
      </c>
      <c r="BO68" s="218">
        <f t="shared" si="65"/>
        <v>3769.3333333333335</v>
      </c>
      <c r="BP68" s="218">
        <f t="shared" si="65"/>
        <v>0</v>
      </c>
      <c r="BQ68" s="218">
        <f t="shared" si="65"/>
        <v>21574.666666666668</v>
      </c>
      <c r="BR68" s="214">
        <f t="shared" si="65"/>
        <v>131743.03999999998</v>
      </c>
      <c r="BS68" s="214">
        <f t="shared" si="65"/>
        <v>473607.18899999995</v>
      </c>
      <c r="BT68" s="278">
        <f t="shared" si="65"/>
        <v>1067978.1823333334</v>
      </c>
    </row>
    <row r="69" spans="1:72">
      <c r="B69" s="716"/>
      <c r="C69" s="216">
        <v>2014</v>
      </c>
      <c r="D69" s="218">
        <f t="shared" ref="D69:AI69" si="66">D57+D45</f>
        <v>28110.896000000001</v>
      </c>
      <c r="E69" s="218">
        <f t="shared" si="66"/>
        <v>44235.986666666671</v>
      </c>
      <c r="F69" s="214">
        <f t="shared" si="66"/>
        <v>72346.882666666672</v>
      </c>
      <c r="G69" s="218">
        <f t="shared" si="66"/>
        <v>31632.083999999995</v>
      </c>
      <c r="H69" s="218">
        <f t="shared" si="66"/>
        <v>34751.552000000003</v>
      </c>
      <c r="I69" s="218">
        <f t="shared" si="66"/>
        <v>33885.5</v>
      </c>
      <c r="J69" s="218">
        <f t="shared" si="66"/>
        <v>33885.5</v>
      </c>
      <c r="K69" s="218">
        <f t="shared" si="66"/>
        <v>30245.599999999999</v>
      </c>
      <c r="L69" s="218">
        <f t="shared" si="66"/>
        <v>30013.588</v>
      </c>
      <c r="M69" s="218">
        <f t="shared" si="66"/>
        <v>22867.02</v>
      </c>
      <c r="N69" s="218">
        <f t="shared" si="66"/>
        <v>30245.599999999999</v>
      </c>
      <c r="O69" s="218">
        <f t="shared" si="66"/>
        <v>114514.4</v>
      </c>
      <c r="P69" s="218">
        <f t="shared" si="66"/>
        <v>85696.6</v>
      </c>
      <c r="Q69" s="218">
        <f t="shared" si="66"/>
        <v>74286.666666666672</v>
      </c>
      <c r="R69" s="218">
        <f t="shared" si="66"/>
        <v>0</v>
      </c>
      <c r="S69" s="218">
        <f t="shared" si="66"/>
        <v>0</v>
      </c>
      <c r="T69" s="218">
        <f t="shared" si="66"/>
        <v>0</v>
      </c>
      <c r="U69" s="218">
        <f t="shared" si="66"/>
        <v>0</v>
      </c>
      <c r="V69" s="218">
        <f t="shared" si="66"/>
        <v>0</v>
      </c>
      <c r="W69" s="218">
        <f t="shared" si="66"/>
        <v>0</v>
      </c>
      <c r="X69" s="218">
        <f t="shared" si="66"/>
        <v>0</v>
      </c>
      <c r="Y69" s="218">
        <f t="shared" si="66"/>
        <v>0</v>
      </c>
      <c r="Z69" s="214">
        <f t="shared" si="66"/>
        <v>522024.11066666665</v>
      </c>
      <c r="AA69" s="218">
        <f t="shared" si="66"/>
        <v>1320</v>
      </c>
      <c r="AB69" s="218">
        <f t="shared" si="66"/>
        <v>0</v>
      </c>
      <c r="AC69" s="218">
        <f t="shared" si="66"/>
        <v>120020.70666666665</v>
      </c>
      <c r="AD69" s="218">
        <f t="shared" si="66"/>
        <v>0</v>
      </c>
      <c r="AE69" s="218">
        <f t="shared" si="66"/>
        <v>6625.1239999999998</v>
      </c>
      <c r="AF69" s="218">
        <f t="shared" si="66"/>
        <v>6625.1239999999998</v>
      </c>
      <c r="AG69" s="218">
        <f t="shared" si="66"/>
        <v>6792.3680000000004</v>
      </c>
      <c r="AH69" s="218">
        <f t="shared" si="66"/>
        <v>6625.1239999999998</v>
      </c>
      <c r="AI69" s="218">
        <f t="shared" si="66"/>
        <v>19173.483999999997</v>
      </c>
      <c r="AJ69" s="218">
        <f t="shared" ref="AJ69:BT69" si="67">AJ57+AJ45</f>
        <v>0</v>
      </c>
      <c r="AK69" s="218">
        <f t="shared" si="67"/>
        <v>0</v>
      </c>
      <c r="AL69" s="218">
        <f t="shared" si="67"/>
        <v>0</v>
      </c>
      <c r="AM69" s="218">
        <f t="shared" si="67"/>
        <v>0</v>
      </c>
      <c r="AN69" s="218">
        <f t="shared" si="67"/>
        <v>0</v>
      </c>
      <c r="AO69" s="218">
        <f t="shared" si="67"/>
        <v>0</v>
      </c>
      <c r="AP69" s="218">
        <f t="shared" si="67"/>
        <v>0</v>
      </c>
      <c r="AQ69" s="218">
        <f t="shared" si="67"/>
        <v>76486.666666666672</v>
      </c>
      <c r="AR69" s="218">
        <f t="shared" si="67"/>
        <v>0</v>
      </c>
      <c r="AS69" s="218">
        <f t="shared" si="67"/>
        <v>13734.16</v>
      </c>
      <c r="AT69" s="218">
        <f t="shared" si="67"/>
        <v>16060.967999999997</v>
      </c>
      <c r="AU69" s="218">
        <f t="shared" si="67"/>
        <v>5593.5</v>
      </c>
      <c r="AV69" s="218">
        <f t="shared" si="67"/>
        <v>0</v>
      </c>
      <c r="AW69" s="218">
        <f t="shared" si="67"/>
        <v>0</v>
      </c>
      <c r="AX69" s="218">
        <f t="shared" si="67"/>
        <v>0</v>
      </c>
      <c r="AY69" s="218">
        <f t="shared" si="67"/>
        <v>15428.644</v>
      </c>
      <c r="AZ69" s="218">
        <f t="shared" si="67"/>
        <v>0</v>
      </c>
      <c r="BA69" s="218">
        <f t="shared" si="67"/>
        <v>0</v>
      </c>
      <c r="BB69" s="218">
        <f t="shared" si="67"/>
        <v>1202.6666666666667</v>
      </c>
      <c r="BC69" s="218">
        <f t="shared" si="67"/>
        <v>8878.5730000000003</v>
      </c>
      <c r="BD69" s="218">
        <f t="shared" si="67"/>
        <v>9217.4279999999981</v>
      </c>
      <c r="BE69" s="218">
        <f t="shared" si="67"/>
        <v>3100.328</v>
      </c>
      <c r="BF69" s="218">
        <f t="shared" si="67"/>
        <v>24257.683999999997</v>
      </c>
      <c r="BG69" s="218">
        <f t="shared" si="67"/>
        <v>0</v>
      </c>
      <c r="BH69" s="218">
        <f t="shared" si="67"/>
        <v>0</v>
      </c>
      <c r="BI69" s="218">
        <f t="shared" si="67"/>
        <v>0</v>
      </c>
      <c r="BJ69" s="214">
        <f t="shared" si="67"/>
        <v>341142.549</v>
      </c>
      <c r="BK69" s="218">
        <f t="shared" si="67"/>
        <v>30774.568000000003</v>
      </c>
      <c r="BL69" s="218">
        <f t="shared" si="67"/>
        <v>25212</v>
      </c>
      <c r="BM69" s="218">
        <f t="shared" si="67"/>
        <v>18502.307999999997</v>
      </c>
      <c r="BN69" s="218">
        <f t="shared" si="67"/>
        <v>31910.164000000001</v>
      </c>
      <c r="BO69" s="218">
        <f t="shared" si="67"/>
        <v>3769.3333333333335</v>
      </c>
      <c r="BP69" s="218">
        <f t="shared" si="67"/>
        <v>0</v>
      </c>
      <c r="BQ69" s="218">
        <f t="shared" si="67"/>
        <v>21574.666666666668</v>
      </c>
      <c r="BR69" s="214">
        <f t="shared" si="67"/>
        <v>131743.03999999998</v>
      </c>
      <c r="BS69" s="214">
        <f t="shared" si="67"/>
        <v>472885.58899999998</v>
      </c>
      <c r="BT69" s="278">
        <f t="shared" si="67"/>
        <v>1067256.5823333333</v>
      </c>
    </row>
    <row r="70" spans="1:72">
      <c r="A70" s="76"/>
      <c r="B70" s="716"/>
      <c r="C70" s="216">
        <v>2015</v>
      </c>
      <c r="D70" s="218">
        <f t="shared" ref="D70:AI70" si="68">D58+D46</f>
        <v>28110.896000000001</v>
      </c>
      <c r="E70" s="218">
        <f t="shared" si="68"/>
        <v>44235.986666666671</v>
      </c>
      <c r="F70" s="214">
        <f t="shared" si="68"/>
        <v>72346.882666666672</v>
      </c>
      <c r="G70" s="218">
        <f t="shared" si="68"/>
        <v>31632.083999999995</v>
      </c>
      <c r="H70" s="218">
        <f t="shared" si="68"/>
        <v>34751.552000000003</v>
      </c>
      <c r="I70" s="218">
        <f t="shared" si="68"/>
        <v>33885.5</v>
      </c>
      <c r="J70" s="218">
        <f t="shared" si="68"/>
        <v>33885.5</v>
      </c>
      <c r="K70" s="218">
        <f t="shared" si="68"/>
        <v>30245.599999999999</v>
      </c>
      <c r="L70" s="218">
        <f t="shared" si="68"/>
        <v>30013.588</v>
      </c>
      <c r="M70" s="218">
        <f t="shared" si="68"/>
        <v>22867.02</v>
      </c>
      <c r="N70" s="218">
        <f t="shared" si="68"/>
        <v>30245.599999999999</v>
      </c>
      <c r="O70" s="218">
        <f t="shared" si="68"/>
        <v>114514.4</v>
      </c>
      <c r="P70" s="218">
        <f t="shared" si="68"/>
        <v>85696.6</v>
      </c>
      <c r="Q70" s="218">
        <f t="shared" si="68"/>
        <v>74286.666666666672</v>
      </c>
      <c r="R70" s="218">
        <f t="shared" si="68"/>
        <v>0</v>
      </c>
      <c r="S70" s="218">
        <f t="shared" si="68"/>
        <v>0</v>
      </c>
      <c r="T70" s="218">
        <f t="shared" si="68"/>
        <v>0</v>
      </c>
      <c r="U70" s="218">
        <f t="shared" si="68"/>
        <v>0</v>
      </c>
      <c r="V70" s="218">
        <f t="shared" si="68"/>
        <v>0</v>
      </c>
      <c r="W70" s="218">
        <f t="shared" si="68"/>
        <v>0</v>
      </c>
      <c r="X70" s="218">
        <f t="shared" si="68"/>
        <v>0</v>
      </c>
      <c r="Y70" s="218">
        <f t="shared" si="68"/>
        <v>0</v>
      </c>
      <c r="Z70" s="214">
        <f t="shared" si="68"/>
        <v>522024.11066666665</v>
      </c>
      <c r="AA70" s="218">
        <f t="shared" si="68"/>
        <v>1320</v>
      </c>
      <c r="AB70" s="218">
        <f t="shared" si="68"/>
        <v>0</v>
      </c>
      <c r="AC70" s="218">
        <f t="shared" si="68"/>
        <v>120020.70666666665</v>
      </c>
      <c r="AD70" s="218">
        <f t="shared" si="68"/>
        <v>0</v>
      </c>
      <c r="AE70" s="218">
        <f t="shared" si="68"/>
        <v>6625.1239999999998</v>
      </c>
      <c r="AF70" s="218">
        <f t="shared" si="68"/>
        <v>6625.1239999999998</v>
      </c>
      <c r="AG70" s="218">
        <f t="shared" si="68"/>
        <v>6792.3680000000004</v>
      </c>
      <c r="AH70" s="218">
        <f t="shared" si="68"/>
        <v>6625.1239999999998</v>
      </c>
      <c r="AI70" s="218">
        <f t="shared" si="68"/>
        <v>19173.483999999997</v>
      </c>
      <c r="AJ70" s="218">
        <f t="shared" ref="AJ70:BT70" si="69">AJ58+AJ46</f>
        <v>0</v>
      </c>
      <c r="AK70" s="218">
        <f t="shared" si="69"/>
        <v>0</v>
      </c>
      <c r="AL70" s="218">
        <f t="shared" si="69"/>
        <v>0</v>
      </c>
      <c r="AM70" s="218">
        <f t="shared" si="69"/>
        <v>0</v>
      </c>
      <c r="AN70" s="218">
        <f t="shared" si="69"/>
        <v>0</v>
      </c>
      <c r="AO70" s="218">
        <f t="shared" si="69"/>
        <v>0</v>
      </c>
      <c r="AP70" s="218">
        <f t="shared" si="69"/>
        <v>0</v>
      </c>
      <c r="AQ70" s="218">
        <f t="shared" si="69"/>
        <v>76486.666666666672</v>
      </c>
      <c r="AR70" s="218">
        <f t="shared" si="69"/>
        <v>0</v>
      </c>
      <c r="AS70" s="218">
        <f t="shared" si="69"/>
        <v>13125.859999999999</v>
      </c>
      <c r="AT70" s="218">
        <f t="shared" si="69"/>
        <v>16060.967999999997</v>
      </c>
      <c r="AU70" s="218">
        <f t="shared" si="69"/>
        <v>5593.5</v>
      </c>
      <c r="AV70" s="218">
        <f t="shared" si="69"/>
        <v>0</v>
      </c>
      <c r="AW70" s="218">
        <f t="shared" si="69"/>
        <v>0</v>
      </c>
      <c r="AX70" s="218">
        <f t="shared" si="69"/>
        <v>0</v>
      </c>
      <c r="AY70" s="218">
        <f t="shared" si="69"/>
        <v>15428.644</v>
      </c>
      <c r="AZ70" s="218">
        <f t="shared" si="69"/>
        <v>0</v>
      </c>
      <c r="BA70" s="218">
        <f t="shared" si="69"/>
        <v>0</v>
      </c>
      <c r="BB70" s="218">
        <f t="shared" si="69"/>
        <v>1202.6666666666667</v>
      </c>
      <c r="BC70" s="218">
        <f t="shared" si="69"/>
        <v>8878.5730000000003</v>
      </c>
      <c r="BD70" s="218">
        <f t="shared" si="69"/>
        <v>9217.4279999999981</v>
      </c>
      <c r="BE70" s="218">
        <f t="shared" si="69"/>
        <v>3100.328</v>
      </c>
      <c r="BF70" s="218">
        <f t="shared" si="69"/>
        <v>24257.683999999997</v>
      </c>
      <c r="BG70" s="218">
        <f t="shared" si="69"/>
        <v>0</v>
      </c>
      <c r="BH70" s="218">
        <f t="shared" si="69"/>
        <v>0</v>
      </c>
      <c r="BI70" s="218">
        <f t="shared" si="69"/>
        <v>0</v>
      </c>
      <c r="BJ70" s="214">
        <f t="shared" si="69"/>
        <v>340534.24899999995</v>
      </c>
      <c r="BK70" s="218">
        <f t="shared" si="69"/>
        <v>30774.568000000003</v>
      </c>
      <c r="BL70" s="218">
        <f t="shared" si="69"/>
        <v>25212</v>
      </c>
      <c r="BM70" s="218">
        <f t="shared" si="69"/>
        <v>18502.307999999997</v>
      </c>
      <c r="BN70" s="218">
        <f t="shared" si="69"/>
        <v>31910.164000000001</v>
      </c>
      <c r="BO70" s="218">
        <f t="shared" si="69"/>
        <v>3769.3333333333335</v>
      </c>
      <c r="BP70" s="218">
        <f t="shared" si="69"/>
        <v>0</v>
      </c>
      <c r="BQ70" s="218">
        <f t="shared" si="69"/>
        <v>21574.666666666668</v>
      </c>
      <c r="BR70" s="214">
        <f t="shared" si="69"/>
        <v>131743.03999999998</v>
      </c>
      <c r="BS70" s="214">
        <f t="shared" si="69"/>
        <v>472277.28899999999</v>
      </c>
      <c r="BT70" s="278">
        <f t="shared" si="69"/>
        <v>1066648.2823333335</v>
      </c>
    </row>
    <row r="71" spans="1:72">
      <c r="A71" s="76"/>
      <c r="B71" s="716"/>
      <c r="C71" s="216">
        <v>2016</v>
      </c>
      <c r="D71" s="218">
        <f t="shared" ref="D71:AI71" si="70">D59+D47</f>
        <v>28110.896000000001</v>
      </c>
      <c r="E71" s="218">
        <f t="shared" si="70"/>
        <v>44235.986666666671</v>
      </c>
      <c r="F71" s="214">
        <f t="shared" si="70"/>
        <v>72346.882666666672</v>
      </c>
      <c r="G71" s="218">
        <f t="shared" si="70"/>
        <v>31632.083999999995</v>
      </c>
      <c r="H71" s="218">
        <f t="shared" si="70"/>
        <v>34751.552000000003</v>
      </c>
      <c r="I71" s="218">
        <f t="shared" si="70"/>
        <v>33885.5</v>
      </c>
      <c r="J71" s="218">
        <f t="shared" si="70"/>
        <v>33885.5</v>
      </c>
      <c r="K71" s="218">
        <f t="shared" si="70"/>
        <v>30245.599999999999</v>
      </c>
      <c r="L71" s="218">
        <f t="shared" si="70"/>
        <v>30013.588</v>
      </c>
      <c r="M71" s="218">
        <f t="shared" si="70"/>
        <v>22867.02</v>
      </c>
      <c r="N71" s="218">
        <f t="shared" si="70"/>
        <v>30245.599999999999</v>
      </c>
      <c r="O71" s="218">
        <f t="shared" si="70"/>
        <v>114514.4</v>
      </c>
      <c r="P71" s="218">
        <f t="shared" si="70"/>
        <v>85696.6</v>
      </c>
      <c r="Q71" s="218">
        <f t="shared" si="70"/>
        <v>74286.666666666672</v>
      </c>
      <c r="R71" s="218">
        <f t="shared" si="70"/>
        <v>0</v>
      </c>
      <c r="S71" s="218">
        <f t="shared" si="70"/>
        <v>0</v>
      </c>
      <c r="T71" s="218">
        <f t="shared" si="70"/>
        <v>0</v>
      </c>
      <c r="U71" s="218">
        <f t="shared" si="70"/>
        <v>0</v>
      </c>
      <c r="V71" s="218">
        <f t="shared" si="70"/>
        <v>0</v>
      </c>
      <c r="W71" s="218">
        <f t="shared" si="70"/>
        <v>0</v>
      </c>
      <c r="X71" s="218">
        <f t="shared" si="70"/>
        <v>0</v>
      </c>
      <c r="Y71" s="218">
        <f t="shared" si="70"/>
        <v>0</v>
      </c>
      <c r="Z71" s="214">
        <f t="shared" si="70"/>
        <v>522024.11066666665</v>
      </c>
      <c r="AA71" s="218">
        <f t="shared" si="70"/>
        <v>1320</v>
      </c>
      <c r="AB71" s="218">
        <f t="shared" si="70"/>
        <v>0</v>
      </c>
      <c r="AC71" s="218">
        <f t="shared" si="70"/>
        <v>120020.70666666665</v>
      </c>
      <c r="AD71" s="218">
        <f t="shared" si="70"/>
        <v>0</v>
      </c>
      <c r="AE71" s="218">
        <f t="shared" si="70"/>
        <v>6625.1239999999998</v>
      </c>
      <c r="AF71" s="218">
        <f t="shared" si="70"/>
        <v>6625.1239999999998</v>
      </c>
      <c r="AG71" s="218">
        <f t="shared" si="70"/>
        <v>6792.3680000000004</v>
      </c>
      <c r="AH71" s="218">
        <f t="shared" si="70"/>
        <v>6625.1239999999998</v>
      </c>
      <c r="AI71" s="218">
        <f t="shared" si="70"/>
        <v>19173.483999999997</v>
      </c>
      <c r="AJ71" s="218">
        <f t="shared" ref="AJ71:BT71" si="71">AJ59+AJ47</f>
        <v>0</v>
      </c>
      <c r="AK71" s="218">
        <f t="shared" si="71"/>
        <v>0</v>
      </c>
      <c r="AL71" s="218">
        <f t="shared" si="71"/>
        <v>0</v>
      </c>
      <c r="AM71" s="218">
        <f t="shared" si="71"/>
        <v>0</v>
      </c>
      <c r="AN71" s="218">
        <f t="shared" si="71"/>
        <v>0</v>
      </c>
      <c r="AO71" s="218">
        <f t="shared" si="71"/>
        <v>0</v>
      </c>
      <c r="AP71" s="218">
        <f t="shared" si="71"/>
        <v>0</v>
      </c>
      <c r="AQ71" s="218">
        <f t="shared" si="71"/>
        <v>76486.666666666672</v>
      </c>
      <c r="AR71" s="218">
        <f t="shared" si="71"/>
        <v>0</v>
      </c>
      <c r="AS71" s="218">
        <f t="shared" si="71"/>
        <v>18309.059999999998</v>
      </c>
      <c r="AT71" s="218">
        <f t="shared" si="71"/>
        <v>16060.967999999997</v>
      </c>
      <c r="AU71" s="218">
        <f t="shared" si="71"/>
        <v>5593.5</v>
      </c>
      <c r="AV71" s="218">
        <f t="shared" si="71"/>
        <v>0</v>
      </c>
      <c r="AW71" s="218">
        <f t="shared" si="71"/>
        <v>0</v>
      </c>
      <c r="AX71" s="218">
        <f t="shared" si="71"/>
        <v>0</v>
      </c>
      <c r="AY71" s="218">
        <f t="shared" si="71"/>
        <v>15428.644</v>
      </c>
      <c r="AZ71" s="218">
        <f t="shared" si="71"/>
        <v>0</v>
      </c>
      <c r="BA71" s="218">
        <f t="shared" si="71"/>
        <v>0</v>
      </c>
      <c r="BB71" s="218">
        <f t="shared" si="71"/>
        <v>1202.6666666666667</v>
      </c>
      <c r="BC71" s="218">
        <f t="shared" si="71"/>
        <v>8878.5730000000003</v>
      </c>
      <c r="BD71" s="218">
        <f t="shared" si="71"/>
        <v>9217.4279999999981</v>
      </c>
      <c r="BE71" s="218">
        <f t="shared" si="71"/>
        <v>3100.328</v>
      </c>
      <c r="BF71" s="218">
        <f t="shared" si="71"/>
        <v>24257.683999999997</v>
      </c>
      <c r="BG71" s="218">
        <f t="shared" si="71"/>
        <v>0</v>
      </c>
      <c r="BH71" s="218">
        <f t="shared" si="71"/>
        <v>0</v>
      </c>
      <c r="BI71" s="218">
        <f t="shared" si="71"/>
        <v>0</v>
      </c>
      <c r="BJ71" s="214">
        <f t="shared" si="71"/>
        <v>345717.44899999996</v>
      </c>
      <c r="BK71" s="218">
        <f t="shared" si="71"/>
        <v>30774.568000000003</v>
      </c>
      <c r="BL71" s="218">
        <f t="shared" si="71"/>
        <v>25212</v>
      </c>
      <c r="BM71" s="218">
        <f t="shared" si="71"/>
        <v>18502.307999999997</v>
      </c>
      <c r="BN71" s="218">
        <f t="shared" si="71"/>
        <v>31910.164000000001</v>
      </c>
      <c r="BO71" s="218">
        <f t="shared" si="71"/>
        <v>3769.3333333333335</v>
      </c>
      <c r="BP71" s="218">
        <f t="shared" si="71"/>
        <v>0</v>
      </c>
      <c r="BQ71" s="218">
        <f t="shared" si="71"/>
        <v>21574.666666666668</v>
      </c>
      <c r="BR71" s="214">
        <f t="shared" si="71"/>
        <v>131743.03999999998</v>
      </c>
      <c r="BS71" s="214">
        <f t="shared" si="71"/>
        <v>477460.48899999994</v>
      </c>
      <c r="BT71" s="278">
        <f t="shared" si="71"/>
        <v>1071831.4823333332</v>
      </c>
    </row>
    <row r="72" spans="1:72">
      <c r="A72" s="76"/>
      <c r="B72" s="716"/>
      <c r="C72" s="216">
        <v>2017</v>
      </c>
      <c r="D72" s="218">
        <f t="shared" ref="D72:AI72" si="72">D60+D48</f>
        <v>28110.896000000001</v>
      </c>
      <c r="E72" s="218">
        <f t="shared" si="72"/>
        <v>44235.986666666671</v>
      </c>
      <c r="F72" s="214">
        <f t="shared" si="72"/>
        <v>72346.882666666672</v>
      </c>
      <c r="G72" s="218">
        <f t="shared" si="72"/>
        <v>31632.083999999995</v>
      </c>
      <c r="H72" s="218">
        <f t="shared" si="72"/>
        <v>34751.552000000003</v>
      </c>
      <c r="I72" s="218">
        <f t="shared" si="72"/>
        <v>33885.5</v>
      </c>
      <c r="J72" s="218">
        <f t="shared" si="72"/>
        <v>33885.5</v>
      </c>
      <c r="K72" s="218">
        <f t="shared" si="72"/>
        <v>30245.599999999999</v>
      </c>
      <c r="L72" s="218">
        <f t="shared" si="72"/>
        <v>30013.588</v>
      </c>
      <c r="M72" s="218">
        <f t="shared" si="72"/>
        <v>22867.02</v>
      </c>
      <c r="N72" s="218">
        <f t="shared" si="72"/>
        <v>30245.599999999999</v>
      </c>
      <c r="O72" s="218">
        <f t="shared" si="72"/>
        <v>114514.4</v>
      </c>
      <c r="P72" s="218">
        <f t="shared" si="72"/>
        <v>85696.6</v>
      </c>
      <c r="Q72" s="218">
        <f t="shared" si="72"/>
        <v>74286.666666666672</v>
      </c>
      <c r="R72" s="218">
        <f t="shared" si="72"/>
        <v>0</v>
      </c>
      <c r="S72" s="218">
        <f t="shared" si="72"/>
        <v>0</v>
      </c>
      <c r="T72" s="218">
        <f t="shared" si="72"/>
        <v>0</v>
      </c>
      <c r="U72" s="218">
        <f t="shared" si="72"/>
        <v>0</v>
      </c>
      <c r="V72" s="218">
        <f t="shared" si="72"/>
        <v>0</v>
      </c>
      <c r="W72" s="218">
        <f t="shared" si="72"/>
        <v>0</v>
      </c>
      <c r="X72" s="218">
        <f t="shared" si="72"/>
        <v>0</v>
      </c>
      <c r="Y72" s="218">
        <f t="shared" si="72"/>
        <v>0</v>
      </c>
      <c r="Z72" s="214">
        <f t="shared" si="72"/>
        <v>522024.11066666665</v>
      </c>
      <c r="AA72" s="218">
        <f t="shared" si="72"/>
        <v>1320</v>
      </c>
      <c r="AB72" s="218">
        <f t="shared" si="72"/>
        <v>0</v>
      </c>
      <c r="AC72" s="218">
        <f t="shared" si="72"/>
        <v>120020.70666666665</v>
      </c>
      <c r="AD72" s="218">
        <f t="shared" si="72"/>
        <v>0</v>
      </c>
      <c r="AE72" s="218">
        <f t="shared" si="72"/>
        <v>6625.1239999999998</v>
      </c>
      <c r="AF72" s="218">
        <f t="shared" si="72"/>
        <v>6625.1239999999998</v>
      </c>
      <c r="AG72" s="218">
        <f t="shared" si="72"/>
        <v>6792.3680000000004</v>
      </c>
      <c r="AH72" s="218">
        <f t="shared" si="72"/>
        <v>6625.1239999999998</v>
      </c>
      <c r="AI72" s="218">
        <f t="shared" si="72"/>
        <v>19173.483999999997</v>
      </c>
      <c r="AJ72" s="218">
        <f t="shared" ref="AJ72:BT72" si="73">AJ60+AJ48</f>
        <v>0</v>
      </c>
      <c r="AK72" s="218">
        <f t="shared" si="73"/>
        <v>0</v>
      </c>
      <c r="AL72" s="218">
        <f t="shared" si="73"/>
        <v>0</v>
      </c>
      <c r="AM72" s="218">
        <f t="shared" si="73"/>
        <v>0</v>
      </c>
      <c r="AN72" s="218">
        <f t="shared" si="73"/>
        <v>0</v>
      </c>
      <c r="AO72" s="218">
        <f t="shared" si="73"/>
        <v>0</v>
      </c>
      <c r="AP72" s="218">
        <f t="shared" si="73"/>
        <v>0</v>
      </c>
      <c r="AQ72" s="218">
        <f t="shared" si="73"/>
        <v>76486.666666666672</v>
      </c>
      <c r="AR72" s="218">
        <f t="shared" si="73"/>
        <v>0</v>
      </c>
      <c r="AS72" s="218">
        <f t="shared" si="73"/>
        <v>22002.859999999997</v>
      </c>
      <c r="AT72" s="218">
        <f t="shared" si="73"/>
        <v>16060.967999999997</v>
      </c>
      <c r="AU72" s="218">
        <f t="shared" si="73"/>
        <v>5593.5</v>
      </c>
      <c r="AV72" s="218">
        <f t="shared" si="73"/>
        <v>0</v>
      </c>
      <c r="AW72" s="218">
        <f t="shared" si="73"/>
        <v>0</v>
      </c>
      <c r="AX72" s="218">
        <f t="shared" si="73"/>
        <v>0</v>
      </c>
      <c r="AY72" s="218">
        <f t="shared" si="73"/>
        <v>15428.644</v>
      </c>
      <c r="AZ72" s="218">
        <f t="shared" si="73"/>
        <v>0</v>
      </c>
      <c r="BA72" s="218">
        <f t="shared" si="73"/>
        <v>0</v>
      </c>
      <c r="BB72" s="218">
        <f t="shared" si="73"/>
        <v>1202.6666666666667</v>
      </c>
      <c r="BC72" s="218">
        <f t="shared" si="73"/>
        <v>8878.5730000000003</v>
      </c>
      <c r="BD72" s="218">
        <f t="shared" si="73"/>
        <v>9217.4279999999981</v>
      </c>
      <c r="BE72" s="218">
        <f t="shared" si="73"/>
        <v>3100.328</v>
      </c>
      <c r="BF72" s="218">
        <f t="shared" si="73"/>
        <v>24257.683999999997</v>
      </c>
      <c r="BG72" s="218">
        <f t="shared" si="73"/>
        <v>0</v>
      </c>
      <c r="BH72" s="218">
        <f t="shared" si="73"/>
        <v>0</v>
      </c>
      <c r="BI72" s="218">
        <f t="shared" si="73"/>
        <v>0</v>
      </c>
      <c r="BJ72" s="214">
        <f t="shared" si="73"/>
        <v>349411.24899999995</v>
      </c>
      <c r="BK72" s="218">
        <f t="shared" si="73"/>
        <v>30774.568000000003</v>
      </c>
      <c r="BL72" s="218">
        <f t="shared" si="73"/>
        <v>25212</v>
      </c>
      <c r="BM72" s="218">
        <f t="shared" si="73"/>
        <v>18502.307999999997</v>
      </c>
      <c r="BN72" s="218">
        <f t="shared" si="73"/>
        <v>31910.164000000001</v>
      </c>
      <c r="BO72" s="218">
        <f t="shared" si="73"/>
        <v>3769.3333333333335</v>
      </c>
      <c r="BP72" s="218">
        <f t="shared" si="73"/>
        <v>0</v>
      </c>
      <c r="BQ72" s="218">
        <f t="shared" si="73"/>
        <v>21574.666666666668</v>
      </c>
      <c r="BR72" s="214">
        <f t="shared" si="73"/>
        <v>131743.03999999998</v>
      </c>
      <c r="BS72" s="214">
        <f t="shared" si="73"/>
        <v>481154.28899999999</v>
      </c>
      <c r="BT72" s="278">
        <f t="shared" si="73"/>
        <v>1075525.2823333335</v>
      </c>
    </row>
    <row r="73" spans="1:72">
      <c r="A73" s="76"/>
      <c r="B73" s="716"/>
      <c r="C73" s="216">
        <v>2018</v>
      </c>
      <c r="D73" s="218">
        <f t="shared" ref="D73:AI73" si="74">D61+D49</f>
        <v>28110.896000000001</v>
      </c>
      <c r="E73" s="218">
        <f t="shared" si="74"/>
        <v>44235.986666666671</v>
      </c>
      <c r="F73" s="214">
        <f t="shared" si="74"/>
        <v>72346.882666666672</v>
      </c>
      <c r="G73" s="218">
        <f t="shared" si="74"/>
        <v>31632.083999999995</v>
      </c>
      <c r="H73" s="218">
        <f t="shared" si="74"/>
        <v>34751.552000000003</v>
      </c>
      <c r="I73" s="218">
        <f t="shared" si="74"/>
        <v>33885.5</v>
      </c>
      <c r="J73" s="218">
        <f t="shared" si="74"/>
        <v>33885.5</v>
      </c>
      <c r="K73" s="218">
        <f t="shared" si="74"/>
        <v>30245.599999999999</v>
      </c>
      <c r="L73" s="218">
        <f t="shared" si="74"/>
        <v>30013.588</v>
      </c>
      <c r="M73" s="218">
        <f t="shared" si="74"/>
        <v>22867.02</v>
      </c>
      <c r="N73" s="218">
        <f t="shared" si="74"/>
        <v>30245.599999999999</v>
      </c>
      <c r="O73" s="218">
        <f t="shared" si="74"/>
        <v>114514.4</v>
      </c>
      <c r="P73" s="218">
        <f t="shared" si="74"/>
        <v>85696.6</v>
      </c>
      <c r="Q73" s="218">
        <f t="shared" si="74"/>
        <v>74286.666666666672</v>
      </c>
      <c r="R73" s="218">
        <f t="shared" si="74"/>
        <v>0</v>
      </c>
      <c r="S73" s="218">
        <f t="shared" si="74"/>
        <v>0</v>
      </c>
      <c r="T73" s="218">
        <f t="shared" si="74"/>
        <v>0</v>
      </c>
      <c r="U73" s="218">
        <f t="shared" si="74"/>
        <v>0</v>
      </c>
      <c r="V73" s="218">
        <f t="shared" si="74"/>
        <v>0</v>
      </c>
      <c r="W73" s="218">
        <f t="shared" si="74"/>
        <v>0</v>
      </c>
      <c r="X73" s="218">
        <f t="shared" si="74"/>
        <v>0</v>
      </c>
      <c r="Y73" s="218">
        <f t="shared" si="74"/>
        <v>0</v>
      </c>
      <c r="Z73" s="214">
        <f t="shared" si="74"/>
        <v>522024.11066666665</v>
      </c>
      <c r="AA73" s="218">
        <f t="shared" si="74"/>
        <v>1320</v>
      </c>
      <c r="AB73" s="218">
        <f t="shared" si="74"/>
        <v>0</v>
      </c>
      <c r="AC73" s="218">
        <f t="shared" si="74"/>
        <v>120020.70666666665</v>
      </c>
      <c r="AD73" s="218">
        <f t="shared" si="74"/>
        <v>0</v>
      </c>
      <c r="AE73" s="218">
        <f t="shared" si="74"/>
        <v>0</v>
      </c>
      <c r="AF73" s="218">
        <f t="shared" si="74"/>
        <v>0</v>
      </c>
      <c r="AG73" s="218">
        <f t="shared" si="74"/>
        <v>0</v>
      </c>
      <c r="AH73" s="218">
        <f t="shared" si="74"/>
        <v>0</v>
      </c>
      <c r="AI73" s="218">
        <f t="shared" si="74"/>
        <v>19173.483999999997</v>
      </c>
      <c r="AJ73" s="218">
        <f t="shared" ref="AJ73:BT73" si="75">AJ61+AJ49</f>
        <v>0</v>
      </c>
      <c r="AK73" s="218">
        <f t="shared" si="75"/>
        <v>0</v>
      </c>
      <c r="AL73" s="218">
        <f t="shared" si="75"/>
        <v>0</v>
      </c>
      <c r="AM73" s="218">
        <f t="shared" si="75"/>
        <v>0</v>
      </c>
      <c r="AN73" s="218">
        <f t="shared" si="75"/>
        <v>0</v>
      </c>
      <c r="AO73" s="218">
        <f t="shared" si="75"/>
        <v>0</v>
      </c>
      <c r="AP73" s="218">
        <f t="shared" si="75"/>
        <v>0</v>
      </c>
      <c r="AQ73" s="218">
        <f t="shared" si="75"/>
        <v>76486.666666666672</v>
      </c>
      <c r="AR73" s="218">
        <f t="shared" si="75"/>
        <v>0</v>
      </c>
      <c r="AS73" s="218">
        <f t="shared" si="75"/>
        <v>22002.859999999997</v>
      </c>
      <c r="AT73" s="218">
        <f t="shared" si="75"/>
        <v>16060.967999999997</v>
      </c>
      <c r="AU73" s="218">
        <f t="shared" si="75"/>
        <v>5593.5</v>
      </c>
      <c r="AV73" s="218">
        <f t="shared" si="75"/>
        <v>0</v>
      </c>
      <c r="AW73" s="218">
        <f t="shared" si="75"/>
        <v>0</v>
      </c>
      <c r="AX73" s="218">
        <f t="shared" si="75"/>
        <v>0</v>
      </c>
      <c r="AY73" s="218">
        <f t="shared" si="75"/>
        <v>15428.644</v>
      </c>
      <c r="AZ73" s="218">
        <f t="shared" si="75"/>
        <v>0</v>
      </c>
      <c r="BA73" s="218">
        <f t="shared" si="75"/>
        <v>0</v>
      </c>
      <c r="BB73" s="218">
        <f t="shared" si="75"/>
        <v>1202.6666666666667</v>
      </c>
      <c r="BC73" s="218">
        <f t="shared" si="75"/>
        <v>8878.5730000000003</v>
      </c>
      <c r="BD73" s="218">
        <f t="shared" si="75"/>
        <v>9217.4279999999981</v>
      </c>
      <c r="BE73" s="218">
        <f t="shared" si="75"/>
        <v>3100.328</v>
      </c>
      <c r="BF73" s="218">
        <f t="shared" si="75"/>
        <v>24257.683999999997</v>
      </c>
      <c r="BG73" s="218">
        <f t="shared" si="75"/>
        <v>0</v>
      </c>
      <c r="BH73" s="218">
        <f t="shared" si="75"/>
        <v>0</v>
      </c>
      <c r="BI73" s="218">
        <f t="shared" si="75"/>
        <v>0</v>
      </c>
      <c r="BJ73" s="214">
        <f t="shared" si="75"/>
        <v>322743.50899999996</v>
      </c>
      <c r="BK73" s="218">
        <f t="shared" si="75"/>
        <v>30774.568000000003</v>
      </c>
      <c r="BL73" s="218">
        <f t="shared" si="75"/>
        <v>25212</v>
      </c>
      <c r="BM73" s="218">
        <f t="shared" si="75"/>
        <v>18502.307999999997</v>
      </c>
      <c r="BN73" s="218">
        <f t="shared" si="75"/>
        <v>31910.164000000001</v>
      </c>
      <c r="BO73" s="218">
        <f t="shared" si="75"/>
        <v>3769.3333333333335</v>
      </c>
      <c r="BP73" s="218">
        <f t="shared" si="75"/>
        <v>0</v>
      </c>
      <c r="BQ73" s="218">
        <f t="shared" si="75"/>
        <v>21574.666666666668</v>
      </c>
      <c r="BR73" s="214">
        <f t="shared" si="75"/>
        <v>131743.03999999998</v>
      </c>
      <c r="BS73" s="214">
        <f t="shared" si="75"/>
        <v>454486.54899999994</v>
      </c>
      <c r="BT73" s="278">
        <f t="shared" si="75"/>
        <v>1048857.5423333333</v>
      </c>
    </row>
    <row r="74" spans="1:72">
      <c r="A74" s="76"/>
      <c r="B74" s="716"/>
      <c r="C74" s="216">
        <v>2019</v>
      </c>
      <c r="D74" s="218">
        <f t="shared" ref="D74:AI74" si="76">D62+D50</f>
        <v>28110.896000000001</v>
      </c>
      <c r="E74" s="218">
        <f t="shared" si="76"/>
        <v>44235.986666666671</v>
      </c>
      <c r="F74" s="214">
        <f t="shared" si="76"/>
        <v>72346.882666666672</v>
      </c>
      <c r="G74" s="218">
        <f t="shared" si="76"/>
        <v>31632.083999999995</v>
      </c>
      <c r="H74" s="218">
        <f t="shared" si="76"/>
        <v>34751.552000000003</v>
      </c>
      <c r="I74" s="218">
        <f t="shared" si="76"/>
        <v>33885.5</v>
      </c>
      <c r="J74" s="218">
        <f t="shared" si="76"/>
        <v>33885.5</v>
      </c>
      <c r="K74" s="218">
        <f t="shared" si="76"/>
        <v>30245.599999999999</v>
      </c>
      <c r="L74" s="218">
        <f t="shared" si="76"/>
        <v>30013.588</v>
      </c>
      <c r="M74" s="218">
        <f t="shared" si="76"/>
        <v>22867.02</v>
      </c>
      <c r="N74" s="218">
        <f t="shared" si="76"/>
        <v>30245.599999999999</v>
      </c>
      <c r="O74" s="218">
        <f t="shared" si="76"/>
        <v>114514.4</v>
      </c>
      <c r="P74" s="218">
        <f t="shared" si="76"/>
        <v>85696.6</v>
      </c>
      <c r="Q74" s="218">
        <f t="shared" si="76"/>
        <v>74286.666666666672</v>
      </c>
      <c r="R74" s="218">
        <f t="shared" si="76"/>
        <v>0</v>
      </c>
      <c r="S74" s="218">
        <f t="shared" si="76"/>
        <v>0</v>
      </c>
      <c r="T74" s="218">
        <f t="shared" si="76"/>
        <v>0</v>
      </c>
      <c r="U74" s="218">
        <f t="shared" si="76"/>
        <v>0</v>
      </c>
      <c r="V74" s="218">
        <f t="shared" si="76"/>
        <v>0</v>
      </c>
      <c r="W74" s="218">
        <f t="shared" si="76"/>
        <v>0</v>
      </c>
      <c r="X74" s="218">
        <f t="shared" si="76"/>
        <v>0</v>
      </c>
      <c r="Y74" s="218">
        <f t="shared" si="76"/>
        <v>0</v>
      </c>
      <c r="Z74" s="214">
        <f t="shared" si="76"/>
        <v>522024.11066666665</v>
      </c>
      <c r="AA74" s="218">
        <f t="shared" si="76"/>
        <v>1320</v>
      </c>
      <c r="AB74" s="218">
        <f t="shared" si="76"/>
        <v>0</v>
      </c>
      <c r="AC74" s="218">
        <f t="shared" si="76"/>
        <v>120020.70666666665</v>
      </c>
      <c r="AD74" s="218">
        <f t="shared" si="76"/>
        <v>0</v>
      </c>
      <c r="AE74" s="218">
        <f t="shared" si="76"/>
        <v>0</v>
      </c>
      <c r="AF74" s="218">
        <f t="shared" si="76"/>
        <v>0</v>
      </c>
      <c r="AG74" s="218">
        <f t="shared" si="76"/>
        <v>0</v>
      </c>
      <c r="AH74" s="218">
        <f t="shared" si="76"/>
        <v>0</v>
      </c>
      <c r="AI74" s="218">
        <f t="shared" si="76"/>
        <v>19173.483999999997</v>
      </c>
      <c r="AJ74" s="218">
        <f t="shared" ref="AJ74:BT74" si="77">AJ62+AJ50</f>
        <v>0</v>
      </c>
      <c r="AK74" s="218">
        <f t="shared" si="77"/>
        <v>0</v>
      </c>
      <c r="AL74" s="218">
        <f t="shared" si="77"/>
        <v>0</v>
      </c>
      <c r="AM74" s="218">
        <f t="shared" si="77"/>
        <v>0</v>
      </c>
      <c r="AN74" s="218">
        <f t="shared" si="77"/>
        <v>0</v>
      </c>
      <c r="AO74" s="218">
        <f t="shared" si="77"/>
        <v>0</v>
      </c>
      <c r="AP74" s="218">
        <f t="shared" si="77"/>
        <v>0</v>
      </c>
      <c r="AQ74" s="218">
        <f t="shared" si="77"/>
        <v>76486.666666666672</v>
      </c>
      <c r="AR74" s="218">
        <f t="shared" si="77"/>
        <v>0</v>
      </c>
      <c r="AS74" s="218">
        <f t="shared" si="77"/>
        <v>22002.859999999997</v>
      </c>
      <c r="AT74" s="218">
        <f t="shared" si="77"/>
        <v>16060.967999999997</v>
      </c>
      <c r="AU74" s="218">
        <f t="shared" si="77"/>
        <v>5593.5</v>
      </c>
      <c r="AV74" s="218">
        <f t="shared" si="77"/>
        <v>0</v>
      </c>
      <c r="AW74" s="218">
        <f t="shared" si="77"/>
        <v>0</v>
      </c>
      <c r="AX74" s="218">
        <f t="shared" si="77"/>
        <v>0</v>
      </c>
      <c r="AY74" s="218">
        <f t="shared" si="77"/>
        <v>15428.644</v>
      </c>
      <c r="AZ74" s="218">
        <f t="shared" si="77"/>
        <v>0</v>
      </c>
      <c r="BA74" s="218">
        <f t="shared" si="77"/>
        <v>0</v>
      </c>
      <c r="BB74" s="218">
        <f t="shared" si="77"/>
        <v>1202.6666666666667</v>
      </c>
      <c r="BC74" s="218">
        <f t="shared" si="77"/>
        <v>8878.5730000000003</v>
      </c>
      <c r="BD74" s="218">
        <f t="shared" si="77"/>
        <v>9217.4279999999981</v>
      </c>
      <c r="BE74" s="218">
        <f t="shared" si="77"/>
        <v>3100.328</v>
      </c>
      <c r="BF74" s="218">
        <f t="shared" si="77"/>
        <v>24257.683999999997</v>
      </c>
      <c r="BG74" s="218">
        <f t="shared" si="77"/>
        <v>0</v>
      </c>
      <c r="BH74" s="218">
        <f t="shared" si="77"/>
        <v>0</v>
      </c>
      <c r="BI74" s="218">
        <f t="shared" si="77"/>
        <v>0</v>
      </c>
      <c r="BJ74" s="214">
        <f t="shared" si="77"/>
        <v>322743.50899999996</v>
      </c>
      <c r="BK74" s="218">
        <f t="shared" si="77"/>
        <v>30774.568000000003</v>
      </c>
      <c r="BL74" s="218">
        <f t="shared" si="77"/>
        <v>25212</v>
      </c>
      <c r="BM74" s="218">
        <f t="shared" si="77"/>
        <v>18502.307999999997</v>
      </c>
      <c r="BN74" s="218">
        <f t="shared" si="77"/>
        <v>31910.164000000001</v>
      </c>
      <c r="BO74" s="218">
        <f t="shared" si="77"/>
        <v>3769.3333333333335</v>
      </c>
      <c r="BP74" s="218">
        <f t="shared" si="77"/>
        <v>0</v>
      </c>
      <c r="BQ74" s="218">
        <f t="shared" si="77"/>
        <v>21574.666666666668</v>
      </c>
      <c r="BR74" s="214">
        <f t="shared" si="77"/>
        <v>131743.03999999998</v>
      </c>
      <c r="BS74" s="214">
        <f t="shared" si="77"/>
        <v>454486.54899999994</v>
      </c>
      <c r="BT74" s="278">
        <f t="shared" si="77"/>
        <v>1048857.5423333333</v>
      </c>
    </row>
    <row r="75" spans="1:72" ht="12.75" customHeight="1" thickBot="1">
      <c r="A75" s="76"/>
      <c r="B75" s="717"/>
      <c r="C75" s="224">
        <v>2020</v>
      </c>
      <c r="D75" s="225">
        <f t="shared" ref="D75:AI75" si="78">D63+D51</f>
        <v>28110.896000000001</v>
      </c>
      <c r="E75" s="225">
        <f t="shared" si="78"/>
        <v>44235.986666666671</v>
      </c>
      <c r="F75" s="226">
        <f t="shared" si="78"/>
        <v>72346.882666666672</v>
      </c>
      <c r="G75" s="225">
        <f t="shared" si="78"/>
        <v>31632.083999999995</v>
      </c>
      <c r="H75" s="225">
        <f t="shared" si="78"/>
        <v>34751.552000000003</v>
      </c>
      <c r="I75" s="225">
        <f t="shared" si="78"/>
        <v>33885.5</v>
      </c>
      <c r="J75" s="225">
        <f t="shared" si="78"/>
        <v>33885.5</v>
      </c>
      <c r="K75" s="225">
        <f t="shared" si="78"/>
        <v>30245.599999999999</v>
      </c>
      <c r="L75" s="225">
        <f t="shared" si="78"/>
        <v>30013.588</v>
      </c>
      <c r="M75" s="225">
        <f t="shared" si="78"/>
        <v>22867.02</v>
      </c>
      <c r="N75" s="225">
        <f t="shared" si="78"/>
        <v>30245.599999999999</v>
      </c>
      <c r="O75" s="225">
        <f t="shared" si="78"/>
        <v>114514.4</v>
      </c>
      <c r="P75" s="225">
        <f t="shared" si="78"/>
        <v>85696.6</v>
      </c>
      <c r="Q75" s="225">
        <f t="shared" si="78"/>
        <v>74286.666666666672</v>
      </c>
      <c r="R75" s="225">
        <f t="shared" si="78"/>
        <v>0</v>
      </c>
      <c r="S75" s="225">
        <f t="shared" si="78"/>
        <v>0</v>
      </c>
      <c r="T75" s="225">
        <f t="shared" si="78"/>
        <v>0</v>
      </c>
      <c r="U75" s="225">
        <f t="shared" si="78"/>
        <v>0</v>
      </c>
      <c r="V75" s="225">
        <f t="shared" si="78"/>
        <v>0</v>
      </c>
      <c r="W75" s="225">
        <f t="shared" si="78"/>
        <v>0</v>
      </c>
      <c r="X75" s="225">
        <f t="shared" si="78"/>
        <v>0</v>
      </c>
      <c r="Y75" s="225">
        <f t="shared" si="78"/>
        <v>0</v>
      </c>
      <c r="Z75" s="226">
        <f t="shared" si="78"/>
        <v>522024.11066666665</v>
      </c>
      <c r="AA75" s="225">
        <f t="shared" si="78"/>
        <v>1320</v>
      </c>
      <c r="AB75" s="225">
        <f t="shared" si="78"/>
        <v>0</v>
      </c>
      <c r="AC75" s="225">
        <f t="shared" si="78"/>
        <v>120020.70666666665</v>
      </c>
      <c r="AD75" s="225">
        <f t="shared" si="78"/>
        <v>0</v>
      </c>
      <c r="AE75" s="225">
        <f t="shared" si="78"/>
        <v>0</v>
      </c>
      <c r="AF75" s="225">
        <f t="shared" si="78"/>
        <v>0</v>
      </c>
      <c r="AG75" s="225">
        <f t="shared" si="78"/>
        <v>0</v>
      </c>
      <c r="AH75" s="225">
        <f t="shared" si="78"/>
        <v>0</v>
      </c>
      <c r="AI75" s="225">
        <f t="shared" si="78"/>
        <v>19173.483999999997</v>
      </c>
      <c r="AJ75" s="225">
        <f t="shared" ref="AJ75:BT75" si="79">AJ63+AJ51</f>
        <v>0</v>
      </c>
      <c r="AK75" s="225">
        <f t="shared" si="79"/>
        <v>0</v>
      </c>
      <c r="AL75" s="225">
        <f t="shared" si="79"/>
        <v>0</v>
      </c>
      <c r="AM75" s="225">
        <f t="shared" si="79"/>
        <v>0</v>
      </c>
      <c r="AN75" s="225">
        <f t="shared" si="79"/>
        <v>0</v>
      </c>
      <c r="AO75" s="225">
        <f t="shared" si="79"/>
        <v>0</v>
      </c>
      <c r="AP75" s="225">
        <f t="shared" si="79"/>
        <v>0</v>
      </c>
      <c r="AQ75" s="225">
        <f t="shared" si="79"/>
        <v>76486.666666666672</v>
      </c>
      <c r="AR75" s="225">
        <f t="shared" si="79"/>
        <v>0</v>
      </c>
      <c r="AS75" s="225">
        <f t="shared" si="79"/>
        <v>22002.859999999997</v>
      </c>
      <c r="AT75" s="225">
        <f t="shared" si="79"/>
        <v>16060.967999999997</v>
      </c>
      <c r="AU75" s="225">
        <f t="shared" si="79"/>
        <v>5593.5</v>
      </c>
      <c r="AV75" s="225">
        <f t="shared" si="79"/>
        <v>0</v>
      </c>
      <c r="AW75" s="225">
        <f t="shared" si="79"/>
        <v>0</v>
      </c>
      <c r="AX75" s="225">
        <f t="shared" si="79"/>
        <v>0</v>
      </c>
      <c r="AY75" s="225">
        <f t="shared" si="79"/>
        <v>15428.644</v>
      </c>
      <c r="AZ75" s="225">
        <f t="shared" si="79"/>
        <v>0</v>
      </c>
      <c r="BA75" s="225">
        <f t="shared" si="79"/>
        <v>0</v>
      </c>
      <c r="BB75" s="225">
        <f t="shared" si="79"/>
        <v>1202.6666666666667</v>
      </c>
      <c r="BC75" s="225">
        <f t="shared" si="79"/>
        <v>8878.5730000000003</v>
      </c>
      <c r="BD75" s="225">
        <f t="shared" si="79"/>
        <v>9217.4279999999981</v>
      </c>
      <c r="BE75" s="225">
        <f t="shared" si="79"/>
        <v>3100.328</v>
      </c>
      <c r="BF75" s="225">
        <f t="shared" si="79"/>
        <v>24257.683999999997</v>
      </c>
      <c r="BG75" s="225">
        <f t="shared" si="79"/>
        <v>0</v>
      </c>
      <c r="BH75" s="225">
        <f t="shared" si="79"/>
        <v>0</v>
      </c>
      <c r="BI75" s="225">
        <f t="shared" si="79"/>
        <v>0</v>
      </c>
      <c r="BJ75" s="226">
        <f t="shared" si="79"/>
        <v>322743.50899999996</v>
      </c>
      <c r="BK75" s="225">
        <f t="shared" si="79"/>
        <v>30774.568000000003</v>
      </c>
      <c r="BL75" s="225">
        <f t="shared" si="79"/>
        <v>25212</v>
      </c>
      <c r="BM75" s="225">
        <f t="shared" si="79"/>
        <v>18502.307999999997</v>
      </c>
      <c r="BN75" s="225">
        <f t="shared" si="79"/>
        <v>31910.164000000001</v>
      </c>
      <c r="BO75" s="225">
        <f t="shared" si="79"/>
        <v>3769.3333333333335</v>
      </c>
      <c r="BP75" s="225">
        <f t="shared" si="79"/>
        <v>0</v>
      </c>
      <c r="BQ75" s="225">
        <f t="shared" si="79"/>
        <v>21574.666666666668</v>
      </c>
      <c r="BR75" s="226">
        <f t="shared" si="79"/>
        <v>131743.03999999998</v>
      </c>
      <c r="BS75" s="226">
        <f t="shared" si="79"/>
        <v>454486.54899999994</v>
      </c>
      <c r="BT75" s="279">
        <f t="shared" si="79"/>
        <v>1048857.5423333333</v>
      </c>
    </row>
    <row r="76" spans="1:72" ht="13.8" thickTop="1">
      <c r="Q76" s="77"/>
      <c r="R76" s="77"/>
      <c r="S76" s="77"/>
      <c r="T76" s="77"/>
      <c r="U76" s="77"/>
      <c r="V76" s="77"/>
      <c r="W76" s="77"/>
    </row>
    <row r="77" spans="1:72">
      <c r="Q77" s="77"/>
      <c r="R77" s="77"/>
      <c r="S77" s="77"/>
      <c r="T77" s="77"/>
      <c r="U77" s="77"/>
      <c r="V77" s="77"/>
      <c r="W77" s="77"/>
    </row>
    <row r="78" spans="1:72">
      <c r="Q78" s="77"/>
      <c r="R78" s="77"/>
      <c r="S78" s="77"/>
      <c r="T78" s="77"/>
      <c r="U78" s="77"/>
      <c r="V78" s="77"/>
      <c r="W78" s="77"/>
    </row>
    <row r="79" spans="1:72">
      <c r="Q79" s="77"/>
      <c r="R79" s="77"/>
      <c r="S79" s="77"/>
      <c r="T79" s="77"/>
      <c r="U79" s="77"/>
      <c r="V79" s="77"/>
      <c r="W79" s="77"/>
    </row>
    <row r="80" spans="1:72" ht="14.4">
      <c r="B80" s="721" t="s">
        <v>796</v>
      </c>
      <c r="C80" s="721"/>
      <c r="Q80" s="77"/>
      <c r="R80" s="77"/>
      <c r="S80" s="77"/>
      <c r="T80" s="77"/>
      <c r="U80" s="77"/>
      <c r="V80" s="77"/>
      <c r="W80" s="77"/>
    </row>
    <row r="81" spans="2:52" ht="14.4">
      <c r="B81" s="108">
        <v>2008</v>
      </c>
      <c r="C81" s="108">
        <f>'Effectif INSA'!C2</f>
        <v>5350</v>
      </c>
      <c r="Q81" s="77"/>
      <c r="R81" s="77"/>
      <c r="S81" s="77"/>
      <c r="T81" s="77"/>
      <c r="U81" s="77"/>
      <c r="V81" s="77"/>
      <c r="W81" s="77"/>
    </row>
    <row r="82" spans="2:52" ht="14.4">
      <c r="B82" s="109">
        <v>2009</v>
      </c>
      <c r="C82" s="108">
        <f>'Effectif INSA'!C3</f>
        <v>5482</v>
      </c>
      <c r="Q82" s="77"/>
      <c r="R82" s="77"/>
      <c r="S82" s="77"/>
      <c r="T82" s="77"/>
      <c r="U82" s="77"/>
      <c r="V82" s="77"/>
      <c r="W82" s="77"/>
      <c r="AZ82" s="70">
        <v>133573</v>
      </c>
    </row>
    <row r="83" spans="2:52" ht="14.4">
      <c r="B83" s="109">
        <v>2010</v>
      </c>
      <c r="C83" s="108">
        <f>'Effectif INSA'!C4</f>
        <v>5547</v>
      </c>
      <c r="Q83" s="77"/>
      <c r="R83" s="77"/>
      <c r="S83" s="77"/>
      <c r="T83" s="77"/>
      <c r="U83" s="77"/>
      <c r="V83" s="77"/>
      <c r="W83" s="77"/>
    </row>
    <row r="84" spans="2:52" ht="14.4">
      <c r="B84" s="109">
        <v>2011</v>
      </c>
      <c r="C84" s="108">
        <f>'Effectif INSA'!C5</f>
        <v>5595</v>
      </c>
      <c r="Q84" s="77"/>
      <c r="R84" s="77"/>
      <c r="S84" s="77"/>
      <c r="T84" s="77"/>
      <c r="U84" s="77"/>
      <c r="V84" s="77"/>
      <c r="W84" s="77"/>
    </row>
    <row r="85" spans="2:52" ht="14.4">
      <c r="B85" s="109">
        <v>2012</v>
      </c>
      <c r="C85" s="108">
        <f>'Effectif INSA'!C6</f>
        <v>5701</v>
      </c>
      <c r="Q85" s="77"/>
      <c r="R85" s="77"/>
      <c r="S85" s="77"/>
      <c r="T85" s="77"/>
      <c r="U85" s="77"/>
      <c r="V85" s="77"/>
      <c r="W85" s="77"/>
    </row>
    <row r="86" spans="2:52" ht="14.4">
      <c r="B86" s="109">
        <v>2013</v>
      </c>
      <c r="C86" s="108">
        <f>'Effectif INSA'!C7</f>
        <v>5679</v>
      </c>
    </row>
    <row r="87" spans="2:52" ht="14.4">
      <c r="B87" s="109">
        <v>2014</v>
      </c>
      <c r="C87" s="108">
        <f>'Effectif INSA'!C8</f>
        <v>5760</v>
      </c>
    </row>
    <row r="88" spans="2:52" ht="14.4">
      <c r="B88" s="109">
        <v>2015</v>
      </c>
      <c r="C88" s="108">
        <f>'Effectif INSA'!C9</f>
        <v>5794</v>
      </c>
    </row>
    <row r="89" spans="2:52" ht="14.4">
      <c r="B89" s="109">
        <v>2016</v>
      </c>
      <c r="C89" s="108">
        <f>'Effectif INSA'!C10</f>
        <v>5937</v>
      </c>
    </row>
    <row r="90" spans="2:52" ht="14.4">
      <c r="B90" s="109">
        <v>2017</v>
      </c>
      <c r="C90" s="108">
        <f>'Effectif INSA'!C11</f>
        <v>6036</v>
      </c>
    </row>
    <row r="91" spans="2:52" ht="14.4">
      <c r="B91" s="109">
        <v>2018</v>
      </c>
      <c r="C91" s="108">
        <f>'Effectif INSA'!C12</f>
        <v>6122</v>
      </c>
    </row>
    <row r="92" spans="2:52" ht="14.4">
      <c r="B92" s="109">
        <v>2019</v>
      </c>
      <c r="C92" s="108">
        <f>'Effectif INSA'!C13</f>
        <v>6133</v>
      </c>
    </row>
  </sheetData>
  <mergeCells count="18">
    <mergeCell ref="A24:A27"/>
    <mergeCell ref="D14:BT14"/>
    <mergeCell ref="BS15:BS23"/>
    <mergeCell ref="BT15:BT23"/>
    <mergeCell ref="BK15:BR15"/>
    <mergeCell ref="Z16:Z17"/>
    <mergeCell ref="D15:F15"/>
    <mergeCell ref="G15:Z15"/>
    <mergeCell ref="F16:F17"/>
    <mergeCell ref="BJ16:BJ17"/>
    <mergeCell ref="BR16:BR17"/>
    <mergeCell ref="B28:B39"/>
    <mergeCell ref="B40:B51"/>
    <mergeCell ref="AA15:BJ15"/>
    <mergeCell ref="B16:B17"/>
    <mergeCell ref="B80:C80"/>
    <mergeCell ref="B52:B63"/>
    <mergeCell ref="B64:B75"/>
  </mergeCells>
  <conditionalFormatting sqref="AS28:AS39">
    <cfRule type="dataBar" priority="1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{EE36DA58-C48E-443F-8A4A-8C6BCF320398}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{D4E97134-371C-3046-80FD-549C8CE8377C}</x14:id>
        </ext>
      </extLst>
    </cfRule>
  </conditionalFormatting>
  <pageMargins left="0.78740157480314965" right="0.78740157480314965" top="0.98425196850393704" bottom="0.98425196850393704" header="0.51181102362204722" footer="0.51181102362204722"/>
  <pageSetup paperSize="8" scale="75" fitToWidth="0" orientation="landscape" verticalDpi="2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36DA58-C48E-443F-8A4A-8C6BCF3203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E97134-371C-3046-80FD-549C8CE8377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AS28:AS39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68FA-EC02-44B7-930A-7F743345D71C}">
  <sheetPr>
    <tabColor theme="0" tint="-0.34998626667073579"/>
  </sheetPr>
  <dimension ref="A3:ZT217"/>
  <sheetViews>
    <sheetView showGridLines="0" topLeftCell="A15" zoomScale="50" zoomScaleNormal="10" workbookViewId="0">
      <selection activeCell="C39" sqref="C39"/>
    </sheetView>
  </sheetViews>
  <sheetFormatPr baseColWidth="10" defaultColWidth="11.44140625" defaultRowHeight="14.4" outlineLevelCol="1"/>
  <cols>
    <col min="1" max="1" width="12.6640625" style="91" bestFit="1" customWidth="1"/>
    <col min="2" max="3" width="11.44140625" style="91"/>
    <col min="4" max="4" width="34.44140625" style="91" customWidth="1"/>
    <col min="5" max="5" width="28" style="91" customWidth="1"/>
    <col min="6" max="6" width="31.6640625" style="91" customWidth="1"/>
    <col min="7" max="7" width="44.33203125" style="91" customWidth="1"/>
    <col min="8" max="8" width="14.44140625" style="91" customWidth="1"/>
    <col min="9" max="9" width="18" style="91" customWidth="1"/>
    <col min="10" max="10" width="17" style="91" customWidth="1"/>
    <col min="11" max="20" width="11.44140625" style="91"/>
    <col min="21" max="23" width="11.44140625" style="91" customWidth="1" outlineLevel="1"/>
    <col min="24" max="24" width="28" style="91" customWidth="1" outlineLevel="1"/>
    <col min="25" max="25" width="19.109375" style="91" customWidth="1" outlineLevel="1"/>
    <col min="26" max="26" width="11.77734375" style="91" customWidth="1" outlineLevel="1"/>
    <col min="27" max="30" width="11.44140625" style="91" customWidth="1" outlineLevel="1"/>
    <col min="31" max="31" width="20.33203125" style="91" customWidth="1" outlineLevel="1"/>
    <col min="32" max="32" width="19.109375" style="91" customWidth="1" outlineLevel="1"/>
    <col min="33" max="637" width="11.44140625" style="91" customWidth="1" outlineLevel="1"/>
    <col min="638" max="638" width="11.44140625" style="91" customWidth="1" outlineLevel="1" collapsed="1"/>
    <col min="639" max="679" width="11.44140625" style="91" customWidth="1" outlineLevel="1"/>
    <col min="680" max="686" width="11.44140625" style="91"/>
    <col min="687" max="687" width="11.44140625" style="91" customWidth="1"/>
    <col min="688" max="691" width="11.44140625" style="192"/>
    <col min="692" max="692" width="11.44140625" style="199"/>
    <col min="693" max="694" width="11.44140625" style="91"/>
    <col min="695" max="695" width="14.77734375" style="91" customWidth="1"/>
    <col min="696" max="696" width="15.77734375" style="91" customWidth="1"/>
    <col min="697" max="16384" width="11.44140625" style="91"/>
  </cols>
  <sheetData>
    <row r="3" spans="4:692" ht="21">
      <c r="D3" s="352"/>
      <c r="E3" s="357">
        <v>2015</v>
      </c>
      <c r="F3" s="357">
        <v>2016</v>
      </c>
      <c r="G3" s="357">
        <v>2017</v>
      </c>
      <c r="H3" s="357">
        <v>2018</v>
      </c>
      <c r="I3" s="357">
        <v>2019</v>
      </c>
      <c r="J3" s="366" t="s">
        <v>926</v>
      </c>
    </row>
    <row r="4" spans="4:692" ht="21">
      <c r="D4" s="340" t="s">
        <v>918</v>
      </c>
      <c r="E4" s="353">
        <f>'Effectif INSA'!M6</f>
        <v>1386</v>
      </c>
      <c r="F4" s="354">
        <f>'Effectif INSA'!N6</f>
        <v>1395</v>
      </c>
      <c r="G4" s="354">
        <f>'Effectif INSA'!O6</f>
        <v>1409</v>
      </c>
      <c r="H4" s="354">
        <f>'Effectif INSA'!P6</f>
        <v>1419</v>
      </c>
      <c r="I4" s="360">
        <f>H4</f>
        <v>1419</v>
      </c>
      <c r="J4" s="358">
        <f>(I4-F4)/F4</f>
        <v>1.7204301075268817E-2</v>
      </c>
    </row>
    <row r="5" spans="4:692" ht="21">
      <c r="D5" s="341" t="s">
        <v>912</v>
      </c>
      <c r="E5" s="353">
        <f>B63</f>
        <v>248</v>
      </c>
      <c r="F5" s="361">
        <f>B55</f>
        <v>608</v>
      </c>
      <c r="G5" s="361">
        <f>B47</f>
        <v>674</v>
      </c>
      <c r="H5" s="361"/>
      <c r="I5" s="361">
        <f>B39</f>
        <v>632</v>
      </c>
      <c r="J5" s="362">
        <f t="shared" ref="J5:J10" si="0">(I5-F5)/F5</f>
        <v>3.9473684210526314E-2</v>
      </c>
    </row>
    <row r="6" spans="4:692" ht="21">
      <c r="D6" s="341" t="s">
        <v>917</v>
      </c>
      <c r="E6" s="355">
        <f>E5/E4</f>
        <v>0.17893217893217894</v>
      </c>
      <c r="F6" s="363">
        <f>F5/F4</f>
        <v>0.43584229390681006</v>
      </c>
      <c r="G6" s="363">
        <f>G5/G4</f>
        <v>0.47835344215755854</v>
      </c>
      <c r="H6" s="363"/>
      <c r="I6" s="363">
        <f>I5/I4</f>
        <v>0.44538407329105001</v>
      </c>
      <c r="J6" s="362">
        <f>(I6-F6)/F6</f>
        <v>2.1892733949037374E-2</v>
      </c>
    </row>
    <row r="7" spans="4:692" ht="21">
      <c r="D7" s="341" t="s">
        <v>913</v>
      </c>
      <c r="E7" s="356">
        <f>A63</f>
        <v>3242.9758064516127</v>
      </c>
      <c r="F7" s="361">
        <f>A55</f>
        <v>2694.6858552631579</v>
      </c>
      <c r="G7" s="361">
        <f>A47</f>
        <v>2566.6810089020773</v>
      </c>
      <c r="H7" s="364"/>
      <c r="I7" s="361">
        <f>A39</f>
        <v>2650.9446202531644</v>
      </c>
      <c r="J7" s="362">
        <f t="shared" si="0"/>
        <v>-1.6232406061196251E-2</v>
      </c>
    </row>
    <row r="8" spans="4:692" ht="21">
      <c r="D8" s="341" t="s">
        <v>916</v>
      </c>
      <c r="E8" s="356">
        <f>F65</f>
        <v>188.69152399999993</v>
      </c>
      <c r="F8" s="365">
        <f>F57</f>
        <v>386.59965899999895</v>
      </c>
      <c r="G8" s="365">
        <f>F49</f>
        <v>408.5008040000003</v>
      </c>
      <c r="H8" s="365"/>
      <c r="I8" s="365">
        <f>F41</f>
        <v>394.75203300000015</v>
      </c>
      <c r="J8" s="362">
        <f t="shared" si="0"/>
        <v>2.1087380214169369E-2</v>
      </c>
    </row>
    <row r="9" spans="4:692" ht="21">
      <c r="D9" s="341" t="s">
        <v>914</v>
      </c>
      <c r="E9" s="355">
        <f>E8/E5</f>
        <v>0.76085291935483845</v>
      </c>
      <c r="F9" s="363">
        <f>F8/F5</f>
        <v>0.63585470230262986</v>
      </c>
      <c r="G9" s="363">
        <f>G8/G5</f>
        <v>0.60608427893175121</v>
      </c>
      <c r="H9" s="363"/>
      <c r="I9" s="363">
        <f>I8/I5</f>
        <v>0.62460764715189898</v>
      </c>
      <c r="J9" s="362">
        <f t="shared" si="0"/>
        <v>-1.7688089920545928E-2</v>
      </c>
    </row>
    <row r="10" spans="4:692" ht="21">
      <c r="D10" s="341" t="s">
        <v>915</v>
      </c>
      <c r="E10" s="355">
        <f>E8/E4</f>
        <v>0.13614107070707065</v>
      </c>
      <c r="F10" s="363">
        <f>F8/F4</f>
        <v>0.27713237204301</v>
      </c>
      <c r="G10" s="363">
        <f>G8/G4</f>
        <v>0.289922501064585</v>
      </c>
      <c r="H10" s="363"/>
      <c r="I10" s="363">
        <f>I8/I4</f>
        <v>0.27819029809725171</v>
      </c>
      <c r="J10" s="362">
        <f t="shared" si="0"/>
        <v>3.817403381794468E-3</v>
      </c>
    </row>
    <row r="15" spans="4:692">
      <c r="ZL15" s="91"/>
      <c r="ZM15" s="91"/>
      <c r="ZN15" s="91"/>
      <c r="ZO15" s="91"/>
      <c r="ZP15" s="91"/>
    </row>
    <row r="16" spans="4:692">
      <c r="ZL16" s="91"/>
      <c r="ZM16" s="91"/>
      <c r="ZN16" s="91"/>
      <c r="ZO16" s="91"/>
      <c r="ZP16" s="91"/>
    </row>
    <row r="17" spans="1:696">
      <c r="ZL17" s="91"/>
      <c r="ZM17" s="91"/>
      <c r="ZN17" s="91"/>
      <c r="ZO17" s="91"/>
      <c r="ZP17" s="91"/>
    </row>
    <row r="18" spans="1:696" s="31" customFormat="1" ht="19.2" customHeight="1">
      <c r="A18" s="46"/>
      <c r="B18" s="46"/>
      <c r="C18" s="46"/>
      <c r="D18" s="740" t="s">
        <v>800</v>
      </c>
      <c r="E18" s="740"/>
      <c r="F18" s="740"/>
      <c r="G18" s="740"/>
      <c r="H18" s="740"/>
      <c r="I18" s="740"/>
      <c r="J18" s="740"/>
      <c r="K18" s="740"/>
      <c r="L18" s="740"/>
      <c r="M18" s="740"/>
      <c r="N18" s="740"/>
      <c r="O18" s="740"/>
      <c r="P18" s="740"/>
      <c r="Q18" s="740"/>
      <c r="R18" s="740"/>
      <c r="S18" s="740"/>
      <c r="T18" s="740"/>
    </row>
    <row r="19" spans="1:696" ht="28.8">
      <c r="D19" s="176" t="s">
        <v>322</v>
      </c>
      <c r="E19" s="177" t="s">
        <v>323</v>
      </c>
      <c r="F19" s="177" t="s">
        <v>324</v>
      </c>
      <c r="ZL19" s="91"/>
      <c r="ZM19" s="91"/>
      <c r="ZN19" s="91"/>
      <c r="ZO19" s="91"/>
      <c r="ZP19" s="91"/>
    </row>
    <row r="20" spans="1:696" ht="22.2" customHeight="1">
      <c r="D20" s="178" t="s">
        <v>325</v>
      </c>
      <c r="E20" s="178" t="s">
        <v>326</v>
      </c>
      <c r="F20" s="178">
        <v>0.314</v>
      </c>
      <c r="ZL20" s="189" t="s">
        <v>512</v>
      </c>
      <c r="ZM20" s="194" t="s">
        <v>514</v>
      </c>
      <c r="ZN20" s="189" t="s">
        <v>515</v>
      </c>
      <c r="ZO20" s="189" t="s">
        <v>322</v>
      </c>
      <c r="ZP20" s="197" t="s">
        <v>341</v>
      </c>
      <c r="ZQ20" s="92"/>
      <c r="ZR20" s="92"/>
      <c r="ZS20" s="92"/>
      <c r="ZT20" s="92"/>
    </row>
    <row r="21" spans="1:696" ht="28.8">
      <c r="D21" s="178" t="s">
        <v>327</v>
      </c>
      <c r="E21" s="178" t="s">
        <v>326</v>
      </c>
      <c r="F21" s="178">
        <v>0.25800000000000001</v>
      </c>
      <c r="ZL21" s="182" t="str">
        <f t="shared" ref="ZL21:ZL67" si="1">CONCATENATE(ZM21," -",ZN21)</f>
        <v>ABU DHABI -LYON</v>
      </c>
      <c r="ZM21" s="183" t="s">
        <v>516</v>
      </c>
      <c r="ZN21" s="182" t="s">
        <v>517</v>
      </c>
      <c r="ZO21" s="182">
        <v>4989</v>
      </c>
      <c r="ZP21" s="198">
        <v>1531.623</v>
      </c>
      <c r="ZQ21" s="92"/>
      <c r="ZR21" s="92"/>
      <c r="ZS21" s="736" t="s">
        <v>809</v>
      </c>
      <c r="ZT21" s="737"/>
    </row>
    <row r="22" spans="1:696" ht="28.8">
      <c r="D22" s="178" t="s">
        <v>328</v>
      </c>
      <c r="E22" s="178" t="s">
        <v>329</v>
      </c>
      <c r="F22" s="178">
        <v>0.20899999999999999</v>
      </c>
      <c r="ZL22" s="182" t="str">
        <f t="shared" si="1"/>
        <v>AMMAN -PORTO</v>
      </c>
      <c r="ZM22" s="183" t="s">
        <v>518</v>
      </c>
      <c r="ZN22" s="182" t="s">
        <v>519</v>
      </c>
      <c r="ZO22" s="182">
        <v>4115</v>
      </c>
      <c r="ZP22" s="198">
        <v>1263.3050000000001</v>
      </c>
      <c r="ZQ22" s="92"/>
      <c r="ZR22" s="92"/>
      <c r="ZS22" s="738"/>
      <c r="ZT22" s="739"/>
    </row>
    <row r="23" spans="1:696" ht="28.8">
      <c r="D23" s="178" t="s">
        <v>330</v>
      </c>
      <c r="E23" s="178" t="s">
        <v>329</v>
      </c>
      <c r="F23" s="178">
        <v>0.23</v>
      </c>
      <c r="ZL23" s="182" t="str">
        <f t="shared" si="1"/>
        <v>AMSTERDAM -MUNICH</v>
      </c>
      <c r="ZM23" s="183" t="s">
        <v>520</v>
      </c>
      <c r="ZN23" s="182" t="s">
        <v>521</v>
      </c>
      <c r="ZO23" s="182">
        <v>668</v>
      </c>
      <c r="ZP23" s="198">
        <v>209.75200000000001</v>
      </c>
      <c r="ZQ23" s="92"/>
      <c r="ZR23" s="92"/>
      <c r="ZS23" s="200" t="s">
        <v>512</v>
      </c>
      <c r="ZT23" s="200" t="s">
        <v>513</v>
      </c>
    </row>
    <row r="24" spans="1:696" ht="28.8">
      <c r="D24" s="178" t="s">
        <v>331</v>
      </c>
      <c r="E24" s="178" t="s">
        <v>329</v>
      </c>
      <c r="F24" s="178">
        <v>0.307</v>
      </c>
      <c r="ZL24" s="182" t="str">
        <f t="shared" si="1"/>
        <v>AMSTERDAM -LYON</v>
      </c>
      <c r="ZM24" s="183" t="s">
        <v>520</v>
      </c>
      <c r="ZN24" s="182" t="s">
        <v>517</v>
      </c>
      <c r="ZO24" s="182">
        <v>735</v>
      </c>
      <c r="ZP24" s="198">
        <v>230.79</v>
      </c>
      <c r="ZQ24" s="92"/>
      <c r="ZR24" s="92"/>
      <c r="ZS24" s="201" t="s">
        <v>792</v>
      </c>
      <c r="ZT24" s="201" t="str">
        <f>CONCATENATE((VLOOKUP(ZS24,_BDD_déplacements_aériens,4,0)),"km")</f>
        <v>916km</v>
      </c>
    </row>
    <row r="25" spans="1:696" ht="28.8">
      <c r="D25" s="178" t="s">
        <v>332</v>
      </c>
      <c r="E25" s="178" t="s">
        <v>333</v>
      </c>
      <c r="F25" s="178">
        <v>0.223</v>
      </c>
      <c r="ZL25" s="182" t="str">
        <f t="shared" si="1"/>
        <v>ATHENES -LYON</v>
      </c>
      <c r="ZM25" s="183" t="s">
        <v>522</v>
      </c>
      <c r="ZN25" s="182" t="s">
        <v>517</v>
      </c>
      <c r="ZO25" s="182">
        <v>1731</v>
      </c>
      <c r="ZP25" s="198">
        <v>446.59800000000001</v>
      </c>
      <c r="ZQ25" s="92"/>
      <c r="ZR25" s="92"/>
      <c r="ZS25" s="92"/>
      <c r="ZT25" s="92"/>
    </row>
    <row r="26" spans="1:696" ht="28.8">
      <c r="D26" s="178" t="s">
        <v>334</v>
      </c>
      <c r="E26" s="178" t="s">
        <v>333</v>
      </c>
      <c r="F26" s="178">
        <v>0.20899999999999999</v>
      </c>
      <c r="ZL26" s="182" t="str">
        <f t="shared" si="1"/>
        <v>ATHENES -THIRA</v>
      </c>
      <c r="ZM26" s="183" t="s">
        <v>522</v>
      </c>
      <c r="ZN26" s="182" t="s">
        <v>523</v>
      </c>
      <c r="ZO26" s="182">
        <v>230</v>
      </c>
      <c r="ZP26" s="198">
        <v>72.22</v>
      </c>
      <c r="ZQ26" s="92"/>
      <c r="ZR26" s="92"/>
      <c r="ZS26" s="92"/>
      <c r="ZT26" s="92"/>
    </row>
    <row r="27" spans="1:696" ht="28.8">
      <c r="D27" s="178" t="s">
        <v>335</v>
      </c>
      <c r="E27" s="178" t="s">
        <v>333</v>
      </c>
      <c r="F27" s="178">
        <v>0.20899999999999999</v>
      </c>
      <c r="ZL27" s="182" t="str">
        <f t="shared" si="1"/>
        <v>ATHENES -LYON</v>
      </c>
      <c r="ZM27" s="183" t="s">
        <v>522</v>
      </c>
      <c r="ZN27" s="182" t="s">
        <v>517</v>
      </c>
      <c r="ZO27" s="182">
        <v>1731</v>
      </c>
      <c r="ZP27" s="198">
        <v>411.97800000000001</v>
      </c>
      <c r="ZQ27" s="92"/>
      <c r="ZR27" s="92"/>
      <c r="ZS27" s="92"/>
      <c r="ZT27" s="92"/>
    </row>
    <row r="28" spans="1:696" ht="28.8">
      <c r="D28" s="178" t="s">
        <v>336</v>
      </c>
      <c r="E28" s="178" t="s">
        <v>333</v>
      </c>
      <c r="F28" s="178">
        <v>0.23</v>
      </c>
      <c r="ZL28" s="182" t="str">
        <f t="shared" si="1"/>
        <v>BARCELONE -GRENADE</v>
      </c>
      <c r="ZM28" s="183" t="s">
        <v>524</v>
      </c>
      <c r="ZN28" s="182" t="s">
        <v>525</v>
      </c>
      <c r="ZO28" s="182">
        <v>681</v>
      </c>
      <c r="ZP28" s="198">
        <v>213.834</v>
      </c>
      <c r="ZQ28" s="92"/>
      <c r="ZR28" s="92"/>
      <c r="ZS28" s="92"/>
      <c r="ZT28" s="92"/>
    </row>
    <row r="29" spans="1:696" ht="28.8">
      <c r="D29" s="178" t="s">
        <v>337</v>
      </c>
      <c r="E29" s="178" t="s">
        <v>333</v>
      </c>
      <c r="F29" s="178">
        <v>0.223</v>
      </c>
      <c r="ZL29" s="182" t="str">
        <f t="shared" si="1"/>
        <v>BARCELONE -LYON</v>
      </c>
      <c r="ZM29" s="183" t="s">
        <v>524</v>
      </c>
      <c r="ZN29" s="182" t="s">
        <v>517</v>
      </c>
      <c r="ZO29" s="182">
        <v>531</v>
      </c>
      <c r="ZP29" s="198">
        <v>166.73400000000001</v>
      </c>
      <c r="ZQ29" s="92"/>
      <c r="ZR29" s="92"/>
      <c r="ZS29" s="92"/>
      <c r="ZT29" s="92"/>
    </row>
    <row r="30" spans="1:696" ht="28.8">
      <c r="D30" s="178" t="s">
        <v>338</v>
      </c>
      <c r="E30" s="178" t="s">
        <v>333</v>
      </c>
      <c r="F30" s="178">
        <v>0.223</v>
      </c>
      <c r="ZL30" s="182" t="str">
        <f t="shared" si="1"/>
        <v>BARCELONE -PARIS</v>
      </c>
      <c r="ZM30" s="183" t="s">
        <v>524</v>
      </c>
      <c r="ZN30" s="182" t="s">
        <v>526</v>
      </c>
      <c r="ZO30" s="182">
        <v>830</v>
      </c>
      <c r="ZP30" s="198">
        <v>260.62</v>
      </c>
      <c r="ZQ30" s="92"/>
      <c r="ZR30" s="92"/>
      <c r="ZS30" s="92"/>
      <c r="ZT30" s="92"/>
    </row>
    <row r="31" spans="1:696" ht="28.8">
      <c r="ZL31" s="182" t="str">
        <f t="shared" si="1"/>
        <v>BELFAST -PARIS</v>
      </c>
      <c r="ZM31" s="183" t="s">
        <v>527</v>
      </c>
      <c r="ZN31" s="182" t="s">
        <v>526</v>
      </c>
      <c r="ZO31" s="182">
        <v>855</v>
      </c>
      <c r="ZP31" s="198">
        <v>268.47000000000003</v>
      </c>
      <c r="ZQ31" s="92"/>
      <c r="ZR31" s="92"/>
      <c r="ZS31" s="92"/>
      <c r="ZT31" s="92"/>
    </row>
    <row r="32" spans="1:696" ht="28.8">
      <c r="D32" s="740" t="s">
        <v>808</v>
      </c>
      <c r="E32" s="740"/>
      <c r="F32" s="740"/>
      <c r="G32" s="740"/>
      <c r="H32" s="740"/>
      <c r="I32" s="740"/>
      <c r="J32" s="740"/>
      <c r="K32" s="740"/>
      <c r="L32" s="740"/>
      <c r="M32" s="740"/>
      <c r="N32" s="740"/>
      <c r="O32" s="740"/>
      <c r="P32" s="740"/>
      <c r="Q32" s="740"/>
      <c r="R32" s="740"/>
      <c r="S32" s="740"/>
      <c r="T32" s="740"/>
      <c r="ZL32" s="182" t="str">
        <f t="shared" si="1"/>
        <v>BELGRADE -LYON</v>
      </c>
      <c r="ZM32" s="183" t="s">
        <v>528</v>
      </c>
      <c r="ZN32" s="182" t="s">
        <v>517</v>
      </c>
      <c r="ZO32" s="182">
        <v>1224</v>
      </c>
      <c r="ZP32" s="198">
        <v>315.79200000000003</v>
      </c>
      <c r="ZQ32" s="92"/>
      <c r="ZR32" s="92"/>
      <c r="ZS32" s="92"/>
      <c r="ZT32" s="92"/>
    </row>
    <row r="33" spans="1:696" s="334" customFormat="1" ht="21"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ZL33" s="336"/>
      <c r="ZM33" s="337"/>
      <c r="ZN33" s="336"/>
      <c r="ZO33" s="336"/>
      <c r="ZP33" s="338"/>
      <c r="ZQ33" s="339"/>
      <c r="ZR33" s="339"/>
      <c r="ZS33" s="339"/>
      <c r="ZT33" s="339"/>
    </row>
    <row r="34" spans="1:696" s="334" customFormat="1" ht="21"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ZL34" s="336"/>
      <c r="ZM34" s="337"/>
      <c r="ZN34" s="336"/>
      <c r="ZO34" s="336"/>
      <c r="ZP34" s="338"/>
      <c r="ZQ34" s="339"/>
      <c r="ZR34" s="339"/>
      <c r="ZS34" s="339"/>
      <c r="ZT34" s="339"/>
    </row>
    <row r="35" spans="1:696" ht="28.8">
      <c r="ZL35" s="182" t="str">
        <f t="shared" si="1"/>
        <v>BIARRITZ -LYON</v>
      </c>
      <c r="ZM35" s="183" t="s">
        <v>529</v>
      </c>
      <c r="ZN35" s="182" t="s">
        <v>517</v>
      </c>
      <c r="ZO35" s="182">
        <v>565</v>
      </c>
      <c r="ZP35" s="198">
        <v>177.41</v>
      </c>
      <c r="ZQ35" s="92"/>
      <c r="ZR35" s="92"/>
      <c r="ZS35" s="92"/>
      <c r="ZT35" s="92"/>
    </row>
    <row r="36" spans="1:696" s="181" customFormat="1" ht="28.8">
      <c r="A36" s="175"/>
      <c r="B36" s="175"/>
      <c r="C36" s="175"/>
      <c r="D36" s="741">
        <v>2019</v>
      </c>
      <c r="E36" s="179" t="s">
        <v>339</v>
      </c>
      <c r="F36" s="180" t="s">
        <v>343</v>
      </c>
      <c r="G36" s="180" t="s">
        <v>343</v>
      </c>
      <c r="H36" s="180" t="s">
        <v>348</v>
      </c>
      <c r="I36" s="180" t="s">
        <v>348</v>
      </c>
      <c r="J36" s="180" t="s">
        <v>348</v>
      </c>
      <c r="K36" s="180" t="s">
        <v>348</v>
      </c>
      <c r="L36" s="180" t="s">
        <v>348</v>
      </c>
      <c r="M36" s="180" t="s">
        <v>348</v>
      </c>
      <c r="N36" s="180" t="s">
        <v>348</v>
      </c>
      <c r="O36" s="180" t="s">
        <v>348</v>
      </c>
      <c r="P36" s="180" t="s">
        <v>348</v>
      </c>
      <c r="Q36" s="180" t="s">
        <v>348</v>
      </c>
      <c r="R36" s="180" t="s">
        <v>348</v>
      </c>
      <c r="S36" s="180" t="s">
        <v>343</v>
      </c>
      <c r="T36" s="180" t="s">
        <v>343</v>
      </c>
      <c r="U36" s="180" t="s">
        <v>348</v>
      </c>
      <c r="V36" s="180" t="s">
        <v>348</v>
      </c>
      <c r="W36" s="180" t="s">
        <v>356</v>
      </c>
      <c r="X36" s="180" t="s">
        <v>356</v>
      </c>
      <c r="Y36" s="180" t="s">
        <v>343</v>
      </c>
      <c r="Z36" s="180" t="s">
        <v>343</v>
      </c>
      <c r="AA36" s="180" t="s">
        <v>356</v>
      </c>
      <c r="AB36" s="180" t="s">
        <v>356</v>
      </c>
      <c r="AC36" s="180" t="s">
        <v>356</v>
      </c>
      <c r="AD36" s="180" t="s">
        <v>356</v>
      </c>
      <c r="AE36" s="180" t="s">
        <v>356</v>
      </c>
      <c r="AF36" s="180" t="s">
        <v>356</v>
      </c>
      <c r="AG36" s="180" t="s">
        <v>356</v>
      </c>
      <c r="AH36" s="180" t="s">
        <v>356</v>
      </c>
      <c r="AI36" s="180" t="s">
        <v>356</v>
      </c>
      <c r="AJ36" s="180" t="s">
        <v>348</v>
      </c>
      <c r="AK36" s="180" t="s">
        <v>348</v>
      </c>
      <c r="AL36" s="180" t="s">
        <v>348</v>
      </c>
      <c r="AM36" s="180" t="s">
        <v>348</v>
      </c>
      <c r="AN36" s="180" t="s">
        <v>348</v>
      </c>
      <c r="AO36" s="180" t="s">
        <v>348</v>
      </c>
      <c r="AP36" s="180" t="s">
        <v>348</v>
      </c>
      <c r="AQ36" s="180" t="s">
        <v>348</v>
      </c>
      <c r="AR36" s="180" t="s">
        <v>348</v>
      </c>
      <c r="AS36" s="180" t="s">
        <v>348</v>
      </c>
      <c r="AT36" s="180" t="s">
        <v>348</v>
      </c>
      <c r="AU36" s="180" t="s">
        <v>348</v>
      </c>
      <c r="AV36" s="180" t="s">
        <v>348</v>
      </c>
      <c r="AW36" s="180" t="s">
        <v>348</v>
      </c>
      <c r="AX36" s="180" t="s">
        <v>348</v>
      </c>
      <c r="AY36" s="180" t="s">
        <v>348</v>
      </c>
      <c r="AZ36" s="180" t="s">
        <v>348</v>
      </c>
      <c r="BA36" s="180" t="s">
        <v>348</v>
      </c>
      <c r="BB36" s="180" t="s">
        <v>348</v>
      </c>
      <c r="BC36" s="180" t="s">
        <v>348</v>
      </c>
      <c r="BD36" s="180" t="s">
        <v>348</v>
      </c>
      <c r="BE36" s="180" t="s">
        <v>348</v>
      </c>
      <c r="BF36" s="180" t="s">
        <v>348</v>
      </c>
      <c r="BG36" s="180" t="s">
        <v>356</v>
      </c>
      <c r="BH36" s="180" t="s">
        <v>348</v>
      </c>
      <c r="BI36" s="180" t="s">
        <v>348</v>
      </c>
      <c r="BJ36" s="180" t="s">
        <v>348</v>
      </c>
      <c r="BK36" s="180" t="s">
        <v>343</v>
      </c>
      <c r="BL36" s="180" t="s">
        <v>348</v>
      </c>
      <c r="BM36" s="180" t="s">
        <v>348</v>
      </c>
      <c r="BN36" s="180" t="s">
        <v>348</v>
      </c>
      <c r="BO36" s="180" t="s">
        <v>348</v>
      </c>
      <c r="BP36" s="180" t="s">
        <v>348</v>
      </c>
      <c r="BQ36" s="180" t="s">
        <v>348</v>
      </c>
      <c r="BR36" s="180" t="s">
        <v>348</v>
      </c>
      <c r="BS36" s="180" t="s">
        <v>348</v>
      </c>
      <c r="BT36" s="180" t="s">
        <v>348</v>
      </c>
      <c r="BU36" s="180" t="s">
        <v>348</v>
      </c>
      <c r="BV36" s="180" t="s">
        <v>348</v>
      </c>
      <c r="BW36" s="180" t="s">
        <v>348</v>
      </c>
      <c r="BX36" s="180" t="s">
        <v>348</v>
      </c>
      <c r="BY36" s="180" t="s">
        <v>348</v>
      </c>
      <c r="BZ36" s="180" t="s">
        <v>348</v>
      </c>
      <c r="CA36" s="180" t="s">
        <v>348</v>
      </c>
      <c r="CB36" s="180" t="s">
        <v>348</v>
      </c>
      <c r="CC36" s="180" t="s">
        <v>348</v>
      </c>
      <c r="CD36" s="180" t="s">
        <v>348</v>
      </c>
      <c r="CE36" s="180" t="s">
        <v>348</v>
      </c>
      <c r="CF36" s="180" t="s">
        <v>348</v>
      </c>
      <c r="CG36" s="180" t="s">
        <v>343</v>
      </c>
      <c r="CH36" s="180" t="s">
        <v>343</v>
      </c>
      <c r="CI36" s="180" t="s">
        <v>356</v>
      </c>
      <c r="CJ36" s="180" t="s">
        <v>343</v>
      </c>
      <c r="CK36" s="180" t="s">
        <v>356</v>
      </c>
      <c r="CL36" s="180" t="s">
        <v>356</v>
      </c>
      <c r="CM36" s="180" t="s">
        <v>348</v>
      </c>
      <c r="CN36" s="180" t="s">
        <v>348</v>
      </c>
      <c r="CO36" s="180" t="s">
        <v>348</v>
      </c>
      <c r="CP36" s="180" t="s">
        <v>356</v>
      </c>
      <c r="CQ36" s="180" t="s">
        <v>348</v>
      </c>
      <c r="CR36" s="180" t="s">
        <v>348</v>
      </c>
      <c r="CS36" s="180" t="s">
        <v>348</v>
      </c>
      <c r="CT36" s="180" t="s">
        <v>348</v>
      </c>
      <c r="CU36" s="180" t="s">
        <v>348</v>
      </c>
      <c r="CV36" s="180" t="s">
        <v>348</v>
      </c>
      <c r="CW36" s="180" t="s">
        <v>348</v>
      </c>
      <c r="CX36" s="180" t="s">
        <v>348</v>
      </c>
      <c r="CY36" s="180" t="s">
        <v>348</v>
      </c>
      <c r="CZ36" s="180" t="s">
        <v>348</v>
      </c>
      <c r="DA36" s="180" t="s">
        <v>348</v>
      </c>
      <c r="DB36" s="180" t="s">
        <v>348</v>
      </c>
      <c r="DC36" s="180" t="s">
        <v>348</v>
      </c>
      <c r="DD36" s="180" t="s">
        <v>348</v>
      </c>
      <c r="DE36" s="180" t="s">
        <v>348</v>
      </c>
      <c r="DF36" s="180" t="s">
        <v>348</v>
      </c>
      <c r="DG36" s="180" t="s">
        <v>348</v>
      </c>
      <c r="DH36" s="180" t="s">
        <v>348</v>
      </c>
      <c r="DI36" s="180" t="s">
        <v>348</v>
      </c>
      <c r="DJ36" s="180" t="s">
        <v>348</v>
      </c>
      <c r="DK36" s="180" t="s">
        <v>348</v>
      </c>
      <c r="DL36" s="180" t="s">
        <v>348</v>
      </c>
      <c r="DM36" s="180" t="s">
        <v>348</v>
      </c>
      <c r="DN36" s="180" t="s">
        <v>348</v>
      </c>
      <c r="DO36" s="180" t="s">
        <v>348</v>
      </c>
      <c r="DP36" s="180" t="s">
        <v>356</v>
      </c>
      <c r="DQ36" s="180" t="s">
        <v>356</v>
      </c>
      <c r="DR36" s="180" t="s">
        <v>356</v>
      </c>
      <c r="DS36" s="180" t="s">
        <v>356</v>
      </c>
      <c r="DT36" s="180" t="s">
        <v>356</v>
      </c>
      <c r="DU36" s="180" t="s">
        <v>356</v>
      </c>
      <c r="DV36" s="180" t="s">
        <v>356</v>
      </c>
      <c r="DW36" s="180" t="s">
        <v>356</v>
      </c>
      <c r="DX36" s="180" t="s">
        <v>356</v>
      </c>
      <c r="DY36" s="180" t="s">
        <v>356</v>
      </c>
      <c r="DZ36" s="180" t="s">
        <v>343</v>
      </c>
      <c r="EA36" s="180" t="s">
        <v>348</v>
      </c>
      <c r="EB36" s="180" t="s">
        <v>348</v>
      </c>
      <c r="EC36" s="180" t="s">
        <v>348</v>
      </c>
      <c r="ED36" s="180" t="s">
        <v>348</v>
      </c>
      <c r="EE36" s="180" t="s">
        <v>348</v>
      </c>
      <c r="EF36" s="180" t="s">
        <v>356</v>
      </c>
      <c r="EG36" s="180" t="s">
        <v>348</v>
      </c>
      <c r="EH36" s="180" t="s">
        <v>348</v>
      </c>
      <c r="EI36" s="180" t="s">
        <v>348</v>
      </c>
      <c r="EJ36" s="180" t="s">
        <v>348</v>
      </c>
      <c r="EK36" s="180" t="s">
        <v>348</v>
      </c>
      <c r="EL36" s="180" t="s">
        <v>348</v>
      </c>
      <c r="EM36" s="180" t="s">
        <v>348</v>
      </c>
      <c r="EN36" s="180" t="s">
        <v>348</v>
      </c>
      <c r="EO36" s="180" t="s">
        <v>348</v>
      </c>
      <c r="EP36" s="180" t="s">
        <v>348</v>
      </c>
      <c r="EQ36" s="180" t="s">
        <v>348</v>
      </c>
      <c r="ER36" s="180" t="s">
        <v>348</v>
      </c>
      <c r="ES36" s="180" t="s">
        <v>356</v>
      </c>
      <c r="ET36" s="180" t="s">
        <v>356</v>
      </c>
      <c r="EU36" s="180" t="s">
        <v>356</v>
      </c>
      <c r="EV36" s="180" t="s">
        <v>356</v>
      </c>
      <c r="EW36" s="180" t="s">
        <v>356</v>
      </c>
      <c r="EX36" s="180" t="s">
        <v>356</v>
      </c>
      <c r="EY36" s="180" t="s">
        <v>356</v>
      </c>
      <c r="EZ36" s="180" t="s">
        <v>356</v>
      </c>
      <c r="FA36" s="180" t="s">
        <v>348</v>
      </c>
      <c r="FB36" s="180" t="s">
        <v>348</v>
      </c>
      <c r="FC36" s="180" t="s">
        <v>356</v>
      </c>
      <c r="FD36" s="180" t="s">
        <v>356</v>
      </c>
      <c r="FE36" s="180" t="s">
        <v>356</v>
      </c>
      <c r="FF36" s="180" t="s">
        <v>356</v>
      </c>
      <c r="FG36" s="180" t="s">
        <v>356</v>
      </c>
      <c r="FH36" s="180" t="s">
        <v>356</v>
      </c>
      <c r="FI36" s="180" t="s">
        <v>356</v>
      </c>
      <c r="FJ36" s="180" t="s">
        <v>356</v>
      </c>
      <c r="FK36" s="180" t="s">
        <v>356</v>
      </c>
      <c r="FL36" s="180" t="s">
        <v>356</v>
      </c>
      <c r="FM36" s="180" t="s">
        <v>356</v>
      </c>
      <c r="FN36" s="180" t="s">
        <v>356</v>
      </c>
      <c r="FO36" s="180" t="s">
        <v>356</v>
      </c>
      <c r="FP36" s="180" t="s">
        <v>356</v>
      </c>
      <c r="FQ36" s="180" t="s">
        <v>356</v>
      </c>
      <c r="FR36" s="180" t="s">
        <v>356</v>
      </c>
      <c r="FS36" s="180" t="s">
        <v>356</v>
      </c>
      <c r="FT36" s="180" t="s">
        <v>356</v>
      </c>
      <c r="FU36" s="180" t="s">
        <v>356</v>
      </c>
      <c r="FV36" s="180" t="s">
        <v>356</v>
      </c>
      <c r="FW36" s="180" t="s">
        <v>348</v>
      </c>
      <c r="FX36" s="180" t="s">
        <v>348</v>
      </c>
      <c r="FY36" s="180" t="s">
        <v>348</v>
      </c>
      <c r="FZ36" s="180" t="s">
        <v>356</v>
      </c>
      <c r="GA36" s="180" t="s">
        <v>356</v>
      </c>
      <c r="GB36" s="180" t="s">
        <v>356</v>
      </c>
      <c r="GC36" s="180" t="s">
        <v>356</v>
      </c>
      <c r="GD36" s="180" t="s">
        <v>356</v>
      </c>
      <c r="GE36" s="180" t="s">
        <v>356</v>
      </c>
      <c r="GF36" s="180" t="s">
        <v>356</v>
      </c>
      <c r="GG36" s="180" t="s">
        <v>343</v>
      </c>
      <c r="GH36" s="180" t="s">
        <v>356</v>
      </c>
      <c r="GI36" s="180" t="s">
        <v>356</v>
      </c>
      <c r="GJ36" s="180" t="s">
        <v>348</v>
      </c>
      <c r="GK36" s="180" t="s">
        <v>348</v>
      </c>
      <c r="GL36" s="180" t="s">
        <v>348</v>
      </c>
      <c r="GM36" s="180" t="s">
        <v>348</v>
      </c>
      <c r="GN36" s="180" t="s">
        <v>348</v>
      </c>
      <c r="GO36" s="180" t="s">
        <v>343</v>
      </c>
      <c r="GP36" s="180" t="s">
        <v>343</v>
      </c>
      <c r="GQ36" s="180" t="s">
        <v>356</v>
      </c>
      <c r="GR36" s="180" t="s">
        <v>356</v>
      </c>
      <c r="GS36" s="180" t="s">
        <v>343</v>
      </c>
      <c r="GT36" s="180" t="s">
        <v>343</v>
      </c>
      <c r="GU36" s="180" t="s">
        <v>343</v>
      </c>
      <c r="GV36" s="180" t="s">
        <v>356</v>
      </c>
      <c r="GW36" s="180" t="s">
        <v>356</v>
      </c>
      <c r="GX36" s="180" t="s">
        <v>356</v>
      </c>
      <c r="GY36" s="180" t="s">
        <v>356</v>
      </c>
      <c r="GZ36" s="180" t="s">
        <v>348</v>
      </c>
      <c r="HA36" s="180" t="s">
        <v>343</v>
      </c>
      <c r="HB36" s="180" t="s">
        <v>356</v>
      </c>
      <c r="HC36" s="180" t="s">
        <v>356</v>
      </c>
      <c r="HD36" s="180" t="s">
        <v>348</v>
      </c>
      <c r="HE36" s="180" t="s">
        <v>348</v>
      </c>
      <c r="HF36" s="180" t="s">
        <v>356</v>
      </c>
      <c r="HG36" s="180" t="s">
        <v>356</v>
      </c>
      <c r="HH36" s="180" t="s">
        <v>356</v>
      </c>
      <c r="HI36" s="180" t="s">
        <v>356</v>
      </c>
      <c r="HJ36" s="180" t="s">
        <v>356</v>
      </c>
      <c r="HK36" s="180" t="s">
        <v>356</v>
      </c>
      <c r="HL36" s="180" t="s">
        <v>356</v>
      </c>
      <c r="HM36" s="180" t="s">
        <v>356</v>
      </c>
      <c r="HN36" s="180" t="s">
        <v>356</v>
      </c>
      <c r="HO36" s="180" t="s">
        <v>356</v>
      </c>
      <c r="HP36" s="180" t="s">
        <v>356</v>
      </c>
      <c r="HQ36" s="180" t="s">
        <v>356</v>
      </c>
      <c r="HR36" s="180" t="s">
        <v>356</v>
      </c>
      <c r="HS36" s="180" t="s">
        <v>356</v>
      </c>
      <c r="HT36" s="180" t="s">
        <v>356</v>
      </c>
      <c r="HU36" s="180" t="s">
        <v>356</v>
      </c>
      <c r="HV36" s="180" t="s">
        <v>356</v>
      </c>
      <c r="HW36" s="180" t="s">
        <v>356</v>
      </c>
      <c r="HX36" s="180" t="s">
        <v>356</v>
      </c>
      <c r="HY36" s="180" t="s">
        <v>356</v>
      </c>
      <c r="HZ36" s="180" t="s">
        <v>356</v>
      </c>
      <c r="IA36" s="180" t="s">
        <v>356</v>
      </c>
      <c r="IB36" s="180" t="s">
        <v>356</v>
      </c>
      <c r="IC36" s="180" t="s">
        <v>356</v>
      </c>
      <c r="ID36" s="180" t="s">
        <v>356</v>
      </c>
      <c r="IE36" s="180" t="s">
        <v>356</v>
      </c>
      <c r="IF36" s="180" t="s">
        <v>356</v>
      </c>
      <c r="IG36" s="180" t="s">
        <v>356</v>
      </c>
      <c r="IH36" s="180" t="s">
        <v>356</v>
      </c>
      <c r="II36" s="180" t="s">
        <v>356</v>
      </c>
      <c r="IJ36" s="180" t="s">
        <v>356</v>
      </c>
      <c r="IK36" s="180" t="s">
        <v>356</v>
      </c>
      <c r="IL36" s="180" t="s">
        <v>356</v>
      </c>
      <c r="IM36" s="180" t="s">
        <v>356</v>
      </c>
      <c r="IN36" s="180" t="s">
        <v>356</v>
      </c>
      <c r="IO36" s="180" t="s">
        <v>356</v>
      </c>
      <c r="IP36" s="180" t="s">
        <v>356</v>
      </c>
      <c r="IQ36" s="180" t="s">
        <v>356</v>
      </c>
      <c r="IR36" s="180" t="s">
        <v>356</v>
      </c>
      <c r="IS36" s="180" t="s">
        <v>356</v>
      </c>
      <c r="IT36" s="180" t="s">
        <v>356</v>
      </c>
      <c r="IU36" s="180" t="s">
        <v>356</v>
      </c>
      <c r="IV36" s="180" t="s">
        <v>356</v>
      </c>
      <c r="IW36" s="180" t="s">
        <v>356</v>
      </c>
      <c r="IX36" s="180" t="s">
        <v>356</v>
      </c>
      <c r="IY36" s="180" t="s">
        <v>356</v>
      </c>
      <c r="IZ36" s="180" t="s">
        <v>356</v>
      </c>
      <c r="JA36" s="180" t="s">
        <v>356</v>
      </c>
      <c r="JB36" s="180" t="s">
        <v>348</v>
      </c>
      <c r="JC36" s="180" t="s">
        <v>348</v>
      </c>
      <c r="JD36" s="180" t="s">
        <v>348</v>
      </c>
      <c r="JE36" s="180" t="s">
        <v>348</v>
      </c>
      <c r="JF36" s="180" t="s">
        <v>348</v>
      </c>
      <c r="JG36" s="180" t="s">
        <v>348</v>
      </c>
      <c r="JH36" s="180" t="s">
        <v>343</v>
      </c>
      <c r="JI36" s="180" t="s">
        <v>348</v>
      </c>
      <c r="JJ36" s="180" t="s">
        <v>356</v>
      </c>
      <c r="JK36" s="180" t="s">
        <v>356</v>
      </c>
      <c r="JL36" s="180" t="s">
        <v>356</v>
      </c>
      <c r="JM36" s="180" t="s">
        <v>356</v>
      </c>
      <c r="JN36" s="180" t="s">
        <v>356</v>
      </c>
      <c r="JO36" s="180" t="s">
        <v>356</v>
      </c>
      <c r="JP36" s="180" t="s">
        <v>356</v>
      </c>
      <c r="JQ36" s="180" t="s">
        <v>356</v>
      </c>
      <c r="JR36" s="180" t="s">
        <v>356</v>
      </c>
      <c r="JS36" s="180" t="s">
        <v>356</v>
      </c>
      <c r="JT36" s="180" t="s">
        <v>356</v>
      </c>
      <c r="JU36" s="180" t="s">
        <v>356</v>
      </c>
      <c r="JV36" s="180" t="s">
        <v>356</v>
      </c>
      <c r="JW36" s="180" t="s">
        <v>356</v>
      </c>
      <c r="JX36" s="180" t="s">
        <v>356</v>
      </c>
      <c r="JY36" s="180" t="s">
        <v>356</v>
      </c>
      <c r="JZ36" s="180" t="s">
        <v>356</v>
      </c>
      <c r="KA36" s="180" t="s">
        <v>356</v>
      </c>
      <c r="KB36" s="180" t="s">
        <v>356</v>
      </c>
      <c r="KC36" s="180" t="s">
        <v>356</v>
      </c>
      <c r="KD36" s="180" t="s">
        <v>356</v>
      </c>
      <c r="KE36" s="180" t="s">
        <v>356</v>
      </c>
      <c r="KF36" s="180" t="s">
        <v>356</v>
      </c>
      <c r="KG36" s="180" t="s">
        <v>356</v>
      </c>
      <c r="KH36" s="180" t="s">
        <v>356</v>
      </c>
      <c r="KI36" s="180" t="s">
        <v>356</v>
      </c>
      <c r="KJ36" s="180" t="s">
        <v>356</v>
      </c>
      <c r="KK36" s="180" t="s">
        <v>356</v>
      </c>
      <c r="KL36" s="180" t="s">
        <v>343</v>
      </c>
      <c r="KM36" s="180" t="s">
        <v>356</v>
      </c>
      <c r="KN36" s="180" t="s">
        <v>356</v>
      </c>
      <c r="KO36" s="180" t="s">
        <v>356</v>
      </c>
      <c r="KP36" s="180" t="s">
        <v>356</v>
      </c>
      <c r="KQ36" s="180" t="s">
        <v>356</v>
      </c>
      <c r="KR36" s="180" t="s">
        <v>356</v>
      </c>
      <c r="KS36" s="180" t="s">
        <v>356</v>
      </c>
      <c r="KT36" s="180" t="s">
        <v>343</v>
      </c>
      <c r="KU36" s="180" t="s">
        <v>356</v>
      </c>
      <c r="KV36" s="180" t="s">
        <v>343</v>
      </c>
      <c r="KW36" s="180" t="s">
        <v>343</v>
      </c>
      <c r="KX36" s="180" t="s">
        <v>343</v>
      </c>
      <c r="KY36" s="180" t="s">
        <v>343</v>
      </c>
      <c r="KZ36" s="180" t="s">
        <v>343</v>
      </c>
      <c r="LA36" s="180" t="s">
        <v>343</v>
      </c>
      <c r="LB36" s="180" t="s">
        <v>343</v>
      </c>
      <c r="LC36" s="180" t="s">
        <v>343</v>
      </c>
      <c r="LD36" s="180" t="s">
        <v>356</v>
      </c>
      <c r="LE36" s="180" t="s">
        <v>356</v>
      </c>
      <c r="LF36" s="180" t="s">
        <v>356</v>
      </c>
      <c r="LG36" s="180" t="s">
        <v>356</v>
      </c>
      <c r="LH36" s="180" t="s">
        <v>356</v>
      </c>
      <c r="LI36" s="180" t="s">
        <v>356</v>
      </c>
      <c r="LJ36" s="180" t="s">
        <v>356</v>
      </c>
      <c r="LK36" s="180" t="s">
        <v>356</v>
      </c>
      <c r="LL36" s="180" t="s">
        <v>356</v>
      </c>
      <c r="LM36" s="180" t="s">
        <v>356</v>
      </c>
      <c r="LN36" s="180" t="s">
        <v>356</v>
      </c>
      <c r="LO36" s="180" t="s">
        <v>356</v>
      </c>
      <c r="LP36" s="180" t="s">
        <v>356</v>
      </c>
      <c r="LQ36" s="180" t="s">
        <v>356</v>
      </c>
      <c r="LR36" s="180" t="s">
        <v>356</v>
      </c>
      <c r="LS36" s="180" t="s">
        <v>356</v>
      </c>
      <c r="LT36" s="180" t="s">
        <v>356</v>
      </c>
      <c r="LU36" s="180" t="s">
        <v>356</v>
      </c>
      <c r="LV36" s="180" t="s">
        <v>343</v>
      </c>
      <c r="LW36" s="180" t="s">
        <v>356</v>
      </c>
      <c r="LX36" s="180" t="s">
        <v>356</v>
      </c>
      <c r="LY36" s="180" t="s">
        <v>343</v>
      </c>
      <c r="LZ36" s="180" t="s">
        <v>343</v>
      </c>
      <c r="MA36" s="180" t="s">
        <v>356</v>
      </c>
      <c r="MB36" s="180" t="s">
        <v>356</v>
      </c>
      <c r="MC36" s="180" t="s">
        <v>356</v>
      </c>
      <c r="MD36" s="180" t="s">
        <v>356</v>
      </c>
      <c r="ME36" s="180" t="s">
        <v>356</v>
      </c>
      <c r="MF36" s="180" t="s">
        <v>356</v>
      </c>
      <c r="MG36" s="180" t="s">
        <v>356</v>
      </c>
      <c r="MH36" s="180" t="s">
        <v>343</v>
      </c>
      <c r="MI36" s="180" t="s">
        <v>343</v>
      </c>
      <c r="MJ36" s="180" t="s">
        <v>343</v>
      </c>
      <c r="MK36" s="180" t="s">
        <v>343</v>
      </c>
      <c r="ML36" s="180" t="s">
        <v>356</v>
      </c>
      <c r="MM36" s="180" t="s">
        <v>356</v>
      </c>
      <c r="MN36" s="180" t="s">
        <v>356</v>
      </c>
      <c r="MO36" s="180" t="s">
        <v>356</v>
      </c>
      <c r="MP36" s="180" t="s">
        <v>356</v>
      </c>
      <c r="MQ36" s="180" t="s">
        <v>356</v>
      </c>
      <c r="MR36" s="180" t="s">
        <v>343</v>
      </c>
      <c r="MS36" s="180" t="s">
        <v>356</v>
      </c>
      <c r="MT36" s="180" t="s">
        <v>356</v>
      </c>
      <c r="MU36" s="180" t="s">
        <v>356</v>
      </c>
      <c r="MV36" s="180" t="s">
        <v>343</v>
      </c>
      <c r="MW36" s="180" t="s">
        <v>356</v>
      </c>
      <c r="MX36" s="180" t="s">
        <v>356</v>
      </c>
      <c r="MY36" s="180" t="s">
        <v>343</v>
      </c>
      <c r="MZ36" s="180" t="s">
        <v>356</v>
      </c>
      <c r="NA36" s="180" t="s">
        <v>356</v>
      </c>
      <c r="NB36" s="180" t="s">
        <v>356</v>
      </c>
      <c r="NC36" s="180" t="s">
        <v>343</v>
      </c>
      <c r="ND36" s="180" t="s">
        <v>343</v>
      </c>
      <c r="NE36" s="180" t="s">
        <v>343</v>
      </c>
      <c r="NF36" s="180" t="s">
        <v>343</v>
      </c>
      <c r="NG36" s="180" t="s">
        <v>343</v>
      </c>
      <c r="NH36" s="180" t="s">
        <v>343</v>
      </c>
      <c r="NI36" s="180" t="s">
        <v>343</v>
      </c>
      <c r="NJ36" s="180" t="s">
        <v>343</v>
      </c>
      <c r="NK36" s="180" t="s">
        <v>343</v>
      </c>
      <c r="NL36" s="180" t="s">
        <v>343</v>
      </c>
      <c r="NM36" s="180" t="s">
        <v>343</v>
      </c>
      <c r="NN36" s="180" t="s">
        <v>343</v>
      </c>
      <c r="NO36" s="180" t="s">
        <v>343</v>
      </c>
      <c r="NP36" s="180" t="s">
        <v>343</v>
      </c>
      <c r="NQ36" s="180" t="s">
        <v>343</v>
      </c>
      <c r="NR36" s="180" t="s">
        <v>343</v>
      </c>
      <c r="NS36" s="180" t="s">
        <v>343</v>
      </c>
      <c r="NT36" s="180" t="s">
        <v>343</v>
      </c>
      <c r="NU36" s="180" t="s">
        <v>343</v>
      </c>
      <c r="NV36" s="180" t="s">
        <v>343</v>
      </c>
      <c r="NW36" s="180" t="s">
        <v>343</v>
      </c>
      <c r="NX36" s="180" t="s">
        <v>343</v>
      </c>
      <c r="NY36" s="180" t="s">
        <v>343</v>
      </c>
      <c r="NZ36" s="180" t="s">
        <v>343</v>
      </c>
      <c r="OA36" s="180" t="s">
        <v>343</v>
      </c>
      <c r="OB36" s="180" t="s">
        <v>343</v>
      </c>
      <c r="OC36" s="180" t="s">
        <v>343</v>
      </c>
      <c r="OD36" s="180" t="s">
        <v>343</v>
      </c>
      <c r="OE36" s="180" t="s">
        <v>343</v>
      </c>
      <c r="OF36" s="180" t="s">
        <v>343</v>
      </c>
      <c r="OG36" s="180" t="s">
        <v>343</v>
      </c>
      <c r="OH36" s="180" t="s">
        <v>343</v>
      </c>
      <c r="OI36" s="180" t="s">
        <v>343</v>
      </c>
      <c r="OJ36" s="180" t="s">
        <v>343</v>
      </c>
      <c r="OK36" s="180" t="s">
        <v>343</v>
      </c>
      <c r="OL36" s="180" t="s">
        <v>343</v>
      </c>
      <c r="OM36" s="180" t="s">
        <v>356</v>
      </c>
      <c r="ON36" s="180" t="s">
        <v>343</v>
      </c>
      <c r="OO36" s="180" t="s">
        <v>343</v>
      </c>
      <c r="OP36" s="180" t="s">
        <v>343</v>
      </c>
      <c r="OQ36" s="180" t="s">
        <v>343</v>
      </c>
      <c r="OR36" s="180" t="s">
        <v>343</v>
      </c>
      <c r="OS36" s="180" t="s">
        <v>343</v>
      </c>
      <c r="OT36" s="180" t="s">
        <v>343</v>
      </c>
      <c r="OU36" s="180" t="s">
        <v>343</v>
      </c>
      <c r="OV36" s="180" t="s">
        <v>343</v>
      </c>
      <c r="OW36" s="180" t="s">
        <v>343</v>
      </c>
      <c r="OX36" s="180" t="s">
        <v>356</v>
      </c>
      <c r="OY36" s="180" t="s">
        <v>356</v>
      </c>
      <c r="OZ36" s="180" t="s">
        <v>356</v>
      </c>
      <c r="PA36" s="180" t="s">
        <v>356</v>
      </c>
      <c r="PB36" s="180" t="s">
        <v>356</v>
      </c>
      <c r="PC36" s="180" t="s">
        <v>356</v>
      </c>
      <c r="PD36" s="180" t="s">
        <v>356</v>
      </c>
      <c r="PE36" s="180" t="s">
        <v>356</v>
      </c>
      <c r="PF36" s="180" t="s">
        <v>356</v>
      </c>
      <c r="PG36" s="180" t="s">
        <v>356</v>
      </c>
      <c r="PH36" s="180" t="s">
        <v>356</v>
      </c>
      <c r="PI36" s="180" t="s">
        <v>343</v>
      </c>
      <c r="PJ36" s="180" t="s">
        <v>343</v>
      </c>
      <c r="PK36" s="180" t="s">
        <v>343</v>
      </c>
      <c r="PL36" s="180" t="s">
        <v>343</v>
      </c>
      <c r="PM36" s="180" t="s">
        <v>343</v>
      </c>
      <c r="PN36" s="180" t="s">
        <v>343</v>
      </c>
      <c r="PO36" s="180" t="s">
        <v>356</v>
      </c>
      <c r="PP36" s="180" t="s">
        <v>343</v>
      </c>
      <c r="PQ36" s="180" t="s">
        <v>343</v>
      </c>
      <c r="PR36" s="180" t="s">
        <v>343</v>
      </c>
      <c r="PS36" s="180" t="s">
        <v>343</v>
      </c>
      <c r="PT36" s="180" t="s">
        <v>343</v>
      </c>
      <c r="PU36" s="180" t="s">
        <v>343</v>
      </c>
      <c r="PV36" s="180" t="s">
        <v>343</v>
      </c>
      <c r="PW36" s="180" t="s">
        <v>343</v>
      </c>
      <c r="PX36" s="180" t="s">
        <v>343</v>
      </c>
      <c r="PY36" s="180" t="s">
        <v>356</v>
      </c>
      <c r="PZ36" s="180" t="s">
        <v>343</v>
      </c>
      <c r="QA36" s="180" t="s">
        <v>343</v>
      </c>
      <c r="QB36" s="180" t="s">
        <v>343</v>
      </c>
      <c r="QC36" s="180" t="s">
        <v>343</v>
      </c>
      <c r="QD36" s="180" t="s">
        <v>356</v>
      </c>
      <c r="QE36" s="180" t="s">
        <v>356</v>
      </c>
      <c r="QF36" s="180" t="s">
        <v>343</v>
      </c>
      <c r="QG36" s="180" t="s">
        <v>356</v>
      </c>
      <c r="QH36" s="180" t="s">
        <v>356</v>
      </c>
      <c r="QI36" s="180" t="s">
        <v>356</v>
      </c>
      <c r="QJ36" s="180" t="s">
        <v>356</v>
      </c>
      <c r="QK36" s="180" t="s">
        <v>356</v>
      </c>
      <c r="QL36" s="180" t="s">
        <v>356</v>
      </c>
      <c r="QM36" s="180" t="s">
        <v>356</v>
      </c>
      <c r="QN36" s="180" t="s">
        <v>356</v>
      </c>
      <c r="QO36" s="180" t="s">
        <v>356</v>
      </c>
      <c r="QP36" s="180" t="s">
        <v>356</v>
      </c>
      <c r="QQ36" s="180" t="s">
        <v>356</v>
      </c>
      <c r="QR36" s="180" t="s">
        <v>356</v>
      </c>
      <c r="QS36" s="180" t="s">
        <v>356</v>
      </c>
      <c r="QT36" s="180" t="s">
        <v>356</v>
      </c>
      <c r="QU36" s="180" t="s">
        <v>356</v>
      </c>
      <c r="QV36" s="180" t="s">
        <v>356</v>
      </c>
      <c r="QW36" s="180" t="s">
        <v>356</v>
      </c>
      <c r="QX36" s="180" t="s">
        <v>356</v>
      </c>
      <c r="QY36" s="180" t="s">
        <v>356</v>
      </c>
      <c r="QZ36" s="180" t="s">
        <v>343</v>
      </c>
      <c r="RA36" s="180" t="s">
        <v>343</v>
      </c>
      <c r="RB36" s="180" t="s">
        <v>343</v>
      </c>
      <c r="RC36" s="180" t="s">
        <v>343</v>
      </c>
      <c r="RD36" s="180" t="s">
        <v>343</v>
      </c>
      <c r="RE36" s="180" t="s">
        <v>343</v>
      </c>
      <c r="RF36" s="180" t="s">
        <v>343</v>
      </c>
      <c r="RG36" s="180" t="s">
        <v>343</v>
      </c>
      <c r="RH36" s="180" t="s">
        <v>343</v>
      </c>
      <c r="RI36" s="180" t="s">
        <v>343</v>
      </c>
      <c r="RJ36" s="180" t="s">
        <v>343</v>
      </c>
      <c r="RK36" s="180" t="s">
        <v>343</v>
      </c>
      <c r="RL36" s="180" t="s">
        <v>343</v>
      </c>
      <c r="RM36" s="180" t="s">
        <v>343</v>
      </c>
      <c r="RN36" s="180" t="s">
        <v>343</v>
      </c>
      <c r="RO36" s="180" t="s">
        <v>343</v>
      </c>
      <c r="RP36" s="180" t="s">
        <v>343</v>
      </c>
      <c r="RQ36" s="180" t="s">
        <v>343</v>
      </c>
      <c r="RR36" s="180" t="s">
        <v>343</v>
      </c>
      <c r="RS36" s="180" t="s">
        <v>343</v>
      </c>
      <c r="RT36" s="180" t="s">
        <v>356</v>
      </c>
      <c r="RU36" s="180" t="s">
        <v>343</v>
      </c>
      <c r="RV36" s="180" t="s">
        <v>343</v>
      </c>
      <c r="RW36" s="180" t="s">
        <v>343</v>
      </c>
      <c r="RX36" s="180" t="s">
        <v>343</v>
      </c>
      <c r="RY36" s="180" t="s">
        <v>343</v>
      </c>
      <c r="RZ36" s="180" t="s">
        <v>343</v>
      </c>
      <c r="SA36" s="180" t="s">
        <v>343</v>
      </c>
      <c r="SB36" s="180" t="s">
        <v>343</v>
      </c>
      <c r="SC36" s="180" t="s">
        <v>343</v>
      </c>
      <c r="SD36" s="180" t="s">
        <v>343</v>
      </c>
      <c r="SE36" s="180" t="s">
        <v>343</v>
      </c>
      <c r="SF36" s="180" t="s">
        <v>343</v>
      </c>
      <c r="SG36" s="180" t="s">
        <v>343</v>
      </c>
      <c r="SH36" s="180" t="s">
        <v>343</v>
      </c>
      <c r="SI36" s="180" t="s">
        <v>343</v>
      </c>
      <c r="SJ36" s="180" t="s">
        <v>343</v>
      </c>
      <c r="SK36" s="180" t="s">
        <v>343</v>
      </c>
      <c r="SL36" s="180" t="s">
        <v>343</v>
      </c>
      <c r="SM36" s="180" t="s">
        <v>343</v>
      </c>
      <c r="SN36" s="180" t="s">
        <v>343</v>
      </c>
      <c r="SO36" s="180" t="s">
        <v>343</v>
      </c>
      <c r="SP36" s="180" t="s">
        <v>343</v>
      </c>
      <c r="SQ36" s="180" t="s">
        <v>343</v>
      </c>
      <c r="SR36" s="180" t="s">
        <v>343</v>
      </c>
      <c r="SS36" s="180" t="s">
        <v>343</v>
      </c>
      <c r="ST36" s="180" t="s">
        <v>343</v>
      </c>
      <c r="SU36" s="180" t="s">
        <v>343</v>
      </c>
      <c r="SV36" s="180" t="s">
        <v>343</v>
      </c>
      <c r="SW36" s="180" t="s">
        <v>343</v>
      </c>
      <c r="SX36" s="180" t="s">
        <v>343</v>
      </c>
      <c r="SY36" s="180" t="s">
        <v>343</v>
      </c>
      <c r="SZ36" s="180" t="s">
        <v>343</v>
      </c>
      <c r="TA36" s="180" t="s">
        <v>343</v>
      </c>
      <c r="TB36" s="180" t="s">
        <v>343</v>
      </c>
      <c r="TC36" s="180" t="s">
        <v>343</v>
      </c>
      <c r="TD36" s="180" t="s">
        <v>343</v>
      </c>
      <c r="TE36" s="180" t="s">
        <v>343</v>
      </c>
      <c r="TF36" s="180" t="s">
        <v>343</v>
      </c>
      <c r="TG36" s="180" t="s">
        <v>343</v>
      </c>
      <c r="TH36" s="180" t="s">
        <v>343</v>
      </c>
      <c r="TI36" s="180" t="s">
        <v>343</v>
      </c>
      <c r="TJ36" s="180" t="s">
        <v>343</v>
      </c>
      <c r="TK36" s="180" t="s">
        <v>343</v>
      </c>
      <c r="TL36" s="180" t="s">
        <v>343</v>
      </c>
      <c r="TM36" s="180" t="s">
        <v>343</v>
      </c>
      <c r="TN36" s="180" t="s">
        <v>343</v>
      </c>
      <c r="TO36" s="180" t="s">
        <v>343</v>
      </c>
      <c r="TP36" s="180" t="s">
        <v>343</v>
      </c>
      <c r="TQ36" s="180" t="s">
        <v>343</v>
      </c>
      <c r="TR36" s="180" t="s">
        <v>343</v>
      </c>
      <c r="TS36" s="180" t="s">
        <v>343</v>
      </c>
      <c r="TT36" s="180" t="s">
        <v>343</v>
      </c>
      <c r="TU36" s="180" t="s">
        <v>343</v>
      </c>
      <c r="TV36" s="180" t="s">
        <v>343</v>
      </c>
      <c r="TW36" s="180" t="s">
        <v>343</v>
      </c>
      <c r="TX36" s="180" t="s">
        <v>343</v>
      </c>
      <c r="TY36" s="180" t="s">
        <v>343</v>
      </c>
      <c r="TZ36" s="180" t="s">
        <v>343</v>
      </c>
      <c r="UA36" s="180" t="s">
        <v>343</v>
      </c>
      <c r="UB36" s="180" t="s">
        <v>343</v>
      </c>
      <c r="UC36" s="180" t="s">
        <v>343</v>
      </c>
      <c r="UD36" s="180" t="s">
        <v>343</v>
      </c>
      <c r="UE36" s="180" t="s">
        <v>343</v>
      </c>
      <c r="UF36" s="180" t="s">
        <v>343</v>
      </c>
      <c r="UG36" s="180" t="s">
        <v>343</v>
      </c>
      <c r="UH36" s="180" t="s">
        <v>343</v>
      </c>
      <c r="UI36" s="180" t="s">
        <v>343</v>
      </c>
      <c r="UJ36" s="180" t="s">
        <v>343</v>
      </c>
      <c r="UK36" s="180" t="s">
        <v>343</v>
      </c>
      <c r="UL36" s="180" t="s">
        <v>343</v>
      </c>
      <c r="UM36" s="180" t="s">
        <v>343</v>
      </c>
      <c r="UN36" s="180" t="s">
        <v>343</v>
      </c>
      <c r="UO36" s="180" t="s">
        <v>343</v>
      </c>
      <c r="UP36" s="180" t="s">
        <v>343</v>
      </c>
      <c r="UQ36" s="180" t="s">
        <v>343</v>
      </c>
      <c r="UR36" s="180" t="s">
        <v>343</v>
      </c>
      <c r="US36" s="180" t="s">
        <v>343</v>
      </c>
      <c r="UT36" s="180" t="s">
        <v>343</v>
      </c>
      <c r="UU36" s="180" t="s">
        <v>343</v>
      </c>
      <c r="UV36" s="180" t="s">
        <v>343</v>
      </c>
      <c r="UW36" s="180" t="s">
        <v>343</v>
      </c>
      <c r="UX36" s="180" t="s">
        <v>343</v>
      </c>
      <c r="UY36" s="180" t="s">
        <v>343</v>
      </c>
      <c r="UZ36" s="180" t="s">
        <v>343</v>
      </c>
      <c r="VA36" s="180" t="s">
        <v>343</v>
      </c>
      <c r="VB36" s="180" t="s">
        <v>343</v>
      </c>
      <c r="VC36" s="180" t="s">
        <v>343</v>
      </c>
      <c r="VD36" s="180" t="s">
        <v>343</v>
      </c>
      <c r="VE36" s="180" t="s">
        <v>343</v>
      </c>
      <c r="VF36" s="180" t="s">
        <v>343</v>
      </c>
      <c r="VG36" s="180" t="s">
        <v>343</v>
      </c>
      <c r="VH36" s="180" t="s">
        <v>343</v>
      </c>
      <c r="VI36" s="180" t="s">
        <v>343</v>
      </c>
      <c r="VJ36" s="180" t="s">
        <v>343</v>
      </c>
      <c r="VK36" s="180" t="s">
        <v>343</v>
      </c>
      <c r="VL36" s="180" t="s">
        <v>343</v>
      </c>
      <c r="VM36" s="180" t="s">
        <v>343</v>
      </c>
      <c r="VN36" s="180" t="s">
        <v>343</v>
      </c>
      <c r="VO36" s="180" t="s">
        <v>343</v>
      </c>
      <c r="VP36" s="180" t="s">
        <v>343</v>
      </c>
      <c r="VQ36" s="180" t="s">
        <v>343</v>
      </c>
      <c r="VR36" s="180" t="s">
        <v>343</v>
      </c>
      <c r="VS36" s="180" t="s">
        <v>343</v>
      </c>
      <c r="VT36" s="180" t="s">
        <v>343</v>
      </c>
      <c r="VU36" s="180" t="s">
        <v>343</v>
      </c>
      <c r="VV36" s="180" t="s">
        <v>343</v>
      </c>
      <c r="VW36" s="180" t="s">
        <v>343</v>
      </c>
      <c r="VX36" s="180" t="s">
        <v>343</v>
      </c>
      <c r="VY36" s="180" t="s">
        <v>343</v>
      </c>
      <c r="VZ36" s="180" t="s">
        <v>343</v>
      </c>
      <c r="WA36" s="180" t="s">
        <v>343</v>
      </c>
      <c r="WB36" s="180" t="s">
        <v>343</v>
      </c>
      <c r="WC36" s="180" t="s">
        <v>343</v>
      </c>
      <c r="WD36" s="180" t="s">
        <v>343</v>
      </c>
      <c r="WE36" s="180" t="s">
        <v>343</v>
      </c>
      <c r="WF36" s="180" t="s">
        <v>343</v>
      </c>
      <c r="WG36" s="180" t="s">
        <v>343</v>
      </c>
      <c r="WH36" s="180" t="s">
        <v>343</v>
      </c>
      <c r="WI36" s="180" t="s">
        <v>343</v>
      </c>
      <c r="WJ36" s="180" t="s">
        <v>343</v>
      </c>
      <c r="WK36" s="180" t="s">
        <v>343</v>
      </c>
      <c r="WL36" s="180" t="s">
        <v>343</v>
      </c>
      <c r="WM36" s="180" t="s">
        <v>343</v>
      </c>
      <c r="WN36" s="180" t="s">
        <v>343</v>
      </c>
      <c r="WO36" s="180" t="s">
        <v>343</v>
      </c>
      <c r="WP36" s="180" t="s">
        <v>343</v>
      </c>
      <c r="WQ36" s="180" t="s">
        <v>343</v>
      </c>
      <c r="WR36" s="180" t="s">
        <v>343</v>
      </c>
      <c r="WS36" s="180" t="s">
        <v>343</v>
      </c>
      <c r="WT36" s="180" t="s">
        <v>343</v>
      </c>
      <c r="WU36" s="180" t="s">
        <v>343</v>
      </c>
      <c r="WV36" s="180" t="s">
        <v>343</v>
      </c>
      <c r="WW36" s="180" t="s">
        <v>343</v>
      </c>
      <c r="WX36" s="180" t="s">
        <v>343</v>
      </c>
      <c r="WY36" s="180" t="s">
        <v>343</v>
      </c>
      <c r="WZ36" s="180" t="s">
        <v>343</v>
      </c>
      <c r="XA36" s="180" t="s">
        <v>343</v>
      </c>
      <c r="XB36" s="180" t="s">
        <v>343</v>
      </c>
      <c r="XC36" s="180" t="s">
        <v>343</v>
      </c>
      <c r="XD36" s="180" t="s">
        <v>343</v>
      </c>
      <c r="XE36" s="180" t="s">
        <v>343</v>
      </c>
      <c r="XF36" s="180" t="s">
        <v>343</v>
      </c>
      <c r="XG36" s="180" t="s">
        <v>343</v>
      </c>
      <c r="XH36" s="180" t="s">
        <v>343</v>
      </c>
      <c r="XI36" s="180" t="s">
        <v>343</v>
      </c>
      <c r="XJ36" s="180" t="s">
        <v>343</v>
      </c>
      <c r="XK36" s="180" t="s">
        <v>343</v>
      </c>
      <c r="XL36" s="180" t="s">
        <v>343</v>
      </c>
      <c r="XM36" s="180" t="s">
        <v>343</v>
      </c>
      <c r="ZL36" s="182" t="str">
        <f t="shared" si="1"/>
        <v>BILBAO -BARCELONE</v>
      </c>
      <c r="ZM36" s="183" t="s">
        <v>530</v>
      </c>
      <c r="ZN36" s="182" t="s">
        <v>524</v>
      </c>
      <c r="ZO36" s="182">
        <v>467</v>
      </c>
      <c r="ZP36" s="198">
        <v>146.63800000000001</v>
      </c>
      <c r="ZQ36" s="185"/>
      <c r="ZR36" s="185"/>
      <c r="ZS36" s="185"/>
      <c r="ZT36" s="185"/>
    </row>
    <row r="37" spans="1:696" s="181" customFormat="1" ht="43.2">
      <c r="A37" s="175"/>
      <c r="B37" s="175"/>
      <c r="C37" s="175"/>
      <c r="D37" s="741"/>
      <c r="E37" s="186" t="s">
        <v>317</v>
      </c>
      <c r="F37" s="187" t="s">
        <v>344</v>
      </c>
      <c r="G37" s="187" t="s">
        <v>346</v>
      </c>
      <c r="H37" s="187" t="s">
        <v>349</v>
      </c>
      <c r="I37" s="187" t="s">
        <v>349</v>
      </c>
      <c r="J37" s="187" t="s">
        <v>350</v>
      </c>
      <c r="K37" s="187" t="s">
        <v>351</v>
      </c>
      <c r="L37" s="187" t="s">
        <v>351</v>
      </c>
      <c r="M37" s="187" t="s">
        <v>351</v>
      </c>
      <c r="N37" s="187" t="s">
        <v>351</v>
      </c>
      <c r="O37" s="187" t="s">
        <v>349</v>
      </c>
      <c r="P37" s="187" t="s">
        <v>349</v>
      </c>
      <c r="Q37" s="187" t="s">
        <v>349</v>
      </c>
      <c r="R37" s="187" t="s">
        <v>349</v>
      </c>
      <c r="S37" s="187" t="s">
        <v>352</v>
      </c>
      <c r="T37" s="187" t="s">
        <v>353</v>
      </c>
      <c r="U37" s="187" t="s">
        <v>354</v>
      </c>
      <c r="V37" s="187" t="s">
        <v>354</v>
      </c>
      <c r="W37" s="187" t="s">
        <v>357</v>
      </c>
      <c r="X37" s="187" t="s">
        <v>359</v>
      </c>
      <c r="Y37" s="187" t="s">
        <v>360</v>
      </c>
      <c r="Z37" s="187" t="s">
        <v>362</v>
      </c>
      <c r="AA37" s="187" t="s">
        <v>364</v>
      </c>
      <c r="AB37" s="187" t="s">
        <v>364</v>
      </c>
      <c r="AC37" s="187" t="s">
        <v>349</v>
      </c>
      <c r="AD37" s="187" t="s">
        <v>349</v>
      </c>
      <c r="AE37" s="187" t="s">
        <v>349</v>
      </c>
      <c r="AF37" s="187" t="s">
        <v>349</v>
      </c>
      <c r="AG37" s="187" t="s">
        <v>349</v>
      </c>
      <c r="AH37" s="187" t="s">
        <v>349</v>
      </c>
      <c r="AI37" s="187" t="s">
        <v>355</v>
      </c>
      <c r="AJ37" s="187" t="s">
        <v>366</v>
      </c>
      <c r="AK37" s="187" t="s">
        <v>366</v>
      </c>
      <c r="AL37" s="187" t="s">
        <v>367</v>
      </c>
      <c r="AM37" s="187" t="s">
        <v>367</v>
      </c>
      <c r="AN37" s="187" t="s">
        <v>367</v>
      </c>
      <c r="AO37" s="187" t="s">
        <v>367</v>
      </c>
      <c r="AP37" s="187" t="s">
        <v>367</v>
      </c>
      <c r="AQ37" s="187" t="s">
        <v>349</v>
      </c>
      <c r="AR37" s="187" t="s">
        <v>349</v>
      </c>
      <c r="AS37" s="187" t="s">
        <v>349</v>
      </c>
      <c r="AT37" s="187" t="s">
        <v>349</v>
      </c>
      <c r="AU37" s="187" t="s">
        <v>349</v>
      </c>
      <c r="AV37" s="187" t="s">
        <v>349</v>
      </c>
      <c r="AW37" s="187" t="s">
        <v>349</v>
      </c>
      <c r="AX37" s="187" t="s">
        <v>349</v>
      </c>
      <c r="AY37" s="187" t="s">
        <v>349</v>
      </c>
      <c r="AZ37" s="187" t="s">
        <v>349</v>
      </c>
      <c r="BA37" s="187" t="s">
        <v>349</v>
      </c>
      <c r="BB37" s="187" t="s">
        <v>349</v>
      </c>
      <c r="BC37" s="187" t="s">
        <v>349</v>
      </c>
      <c r="BD37" s="187" t="s">
        <v>349</v>
      </c>
      <c r="BE37" s="187" t="s">
        <v>368</v>
      </c>
      <c r="BF37" s="187" t="s">
        <v>349</v>
      </c>
      <c r="BG37" s="187" t="s">
        <v>369</v>
      </c>
      <c r="BH37" s="187" t="s">
        <v>349</v>
      </c>
      <c r="BI37" s="187" t="s">
        <v>349</v>
      </c>
      <c r="BJ37" s="187" t="s">
        <v>349</v>
      </c>
      <c r="BK37" s="187" t="s">
        <v>371</v>
      </c>
      <c r="BL37" s="187" t="s">
        <v>349</v>
      </c>
      <c r="BM37" s="187" t="s">
        <v>349</v>
      </c>
      <c r="BN37" s="187" t="s">
        <v>349</v>
      </c>
      <c r="BO37" s="187" t="s">
        <v>349</v>
      </c>
      <c r="BP37" s="187" t="s">
        <v>349</v>
      </c>
      <c r="BQ37" s="187" t="s">
        <v>349</v>
      </c>
      <c r="BR37" s="187" t="s">
        <v>349</v>
      </c>
      <c r="BS37" s="187" t="s">
        <v>349</v>
      </c>
      <c r="BT37" s="187" t="s">
        <v>349</v>
      </c>
      <c r="BU37" s="187" t="s">
        <v>349</v>
      </c>
      <c r="BV37" s="187" t="s">
        <v>349</v>
      </c>
      <c r="BW37" s="187" t="s">
        <v>349</v>
      </c>
      <c r="BX37" s="187" t="s">
        <v>349</v>
      </c>
      <c r="BY37" s="187" t="s">
        <v>349</v>
      </c>
      <c r="BZ37" s="187" t="s">
        <v>349</v>
      </c>
      <c r="CA37" s="187" t="s">
        <v>349</v>
      </c>
      <c r="CB37" s="187" t="s">
        <v>372</v>
      </c>
      <c r="CC37" s="187" t="s">
        <v>372</v>
      </c>
      <c r="CD37" s="187" t="s">
        <v>372</v>
      </c>
      <c r="CE37" s="187" t="s">
        <v>372</v>
      </c>
      <c r="CF37" s="187" t="s">
        <v>372</v>
      </c>
      <c r="CG37" s="187" t="s">
        <v>373</v>
      </c>
      <c r="CH37" s="187" t="s">
        <v>373</v>
      </c>
      <c r="CI37" s="187" t="s">
        <v>375</v>
      </c>
      <c r="CJ37" s="187" t="s">
        <v>376</v>
      </c>
      <c r="CK37" s="187" t="s">
        <v>349</v>
      </c>
      <c r="CL37" s="187" t="s">
        <v>349</v>
      </c>
      <c r="CM37" s="187" t="s">
        <v>349</v>
      </c>
      <c r="CN37" s="187" t="s">
        <v>380</v>
      </c>
      <c r="CO37" s="187" t="s">
        <v>379</v>
      </c>
      <c r="CP37" s="187" t="s">
        <v>355</v>
      </c>
      <c r="CQ37" s="187" t="s">
        <v>380</v>
      </c>
      <c r="CR37" s="187" t="s">
        <v>380</v>
      </c>
      <c r="CS37" s="187" t="s">
        <v>380</v>
      </c>
      <c r="CT37" s="187" t="s">
        <v>380</v>
      </c>
      <c r="CU37" s="187" t="s">
        <v>380</v>
      </c>
      <c r="CV37" s="187" t="s">
        <v>380</v>
      </c>
      <c r="CW37" s="187" t="s">
        <v>380</v>
      </c>
      <c r="CX37" s="187" t="s">
        <v>380</v>
      </c>
      <c r="CY37" s="187" t="s">
        <v>380</v>
      </c>
      <c r="CZ37" s="187" t="s">
        <v>349</v>
      </c>
      <c r="DA37" s="187" t="s">
        <v>349</v>
      </c>
      <c r="DB37" s="187" t="s">
        <v>349</v>
      </c>
      <c r="DC37" s="187" t="s">
        <v>349</v>
      </c>
      <c r="DD37" s="187" t="s">
        <v>349</v>
      </c>
      <c r="DE37" s="187" t="s">
        <v>349</v>
      </c>
      <c r="DF37" s="187" t="s">
        <v>349</v>
      </c>
      <c r="DG37" s="187" t="s">
        <v>349</v>
      </c>
      <c r="DH37" s="187" t="s">
        <v>349</v>
      </c>
      <c r="DI37" s="187" t="s">
        <v>349</v>
      </c>
      <c r="DJ37" s="187" t="s">
        <v>349</v>
      </c>
      <c r="DK37" s="187" t="s">
        <v>349</v>
      </c>
      <c r="DL37" s="187" t="s">
        <v>349</v>
      </c>
      <c r="DM37" s="187" t="s">
        <v>349</v>
      </c>
      <c r="DN37" s="187" t="s">
        <v>349</v>
      </c>
      <c r="DO37" s="187" t="s">
        <v>349</v>
      </c>
      <c r="DP37" s="187" t="s">
        <v>382</v>
      </c>
      <c r="DQ37" s="187" t="s">
        <v>349</v>
      </c>
      <c r="DR37" s="187" t="s">
        <v>349</v>
      </c>
      <c r="DS37" s="187" t="s">
        <v>349</v>
      </c>
      <c r="DT37" s="187" t="s">
        <v>349</v>
      </c>
      <c r="DU37" s="187" t="s">
        <v>349</v>
      </c>
      <c r="DV37" s="187" t="s">
        <v>349</v>
      </c>
      <c r="DW37" s="187" t="s">
        <v>349</v>
      </c>
      <c r="DX37" s="187" t="s">
        <v>383</v>
      </c>
      <c r="DY37" s="187" t="s">
        <v>383</v>
      </c>
      <c r="DZ37" s="187" t="s">
        <v>384</v>
      </c>
      <c r="EA37" s="187" t="s">
        <v>349</v>
      </c>
      <c r="EB37" s="187" t="s">
        <v>349</v>
      </c>
      <c r="EC37" s="187" t="s">
        <v>349</v>
      </c>
      <c r="ED37" s="187" t="s">
        <v>349</v>
      </c>
      <c r="EE37" s="187" t="s">
        <v>349</v>
      </c>
      <c r="EF37" s="187" t="s">
        <v>372</v>
      </c>
      <c r="EG37" s="187" t="s">
        <v>385</v>
      </c>
      <c r="EH37" s="187" t="s">
        <v>349</v>
      </c>
      <c r="EI37" s="187" t="s">
        <v>349</v>
      </c>
      <c r="EJ37" s="187" t="s">
        <v>387</v>
      </c>
      <c r="EK37" s="187" t="s">
        <v>387</v>
      </c>
      <c r="EL37" s="187" t="s">
        <v>354</v>
      </c>
      <c r="EM37" s="187" t="s">
        <v>354</v>
      </c>
      <c r="EN37" s="187" t="s">
        <v>349</v>
      </c>
      <c r="EO37" s="187" t="s">
        <v>349</v>
      </c>
      <c r="EP37" s="187" t="s">
        <v>349</v>
      </c>
      <c r="EQ37" s="187" t="s">
        <v>349</v>
      </c>
      <c r="ER37" s="187" t="s">
        <v>349</v>
      </c>
      <c r="ES37" s="187" t="s">
        <v>349</v>
      </c>
      <c r="ET37" s="187" t="s">
        <v>349</v>
      </c>
      <c r="EU37" s="187" t="s">
        <v>349</v>
      </c>
      <c r="EV37" s="187" t="s">
        <v>349</v>
      </c>
      <c r="EW37" s="187" t="s">
        <v>349</v>
      </c>
      <c r="EX37" s="187" t="s">
        <v>370</v>
      </c>
      <c r="EY37" s="187" t="s">
        <v>370</v>
      </c>
      <c r="EZ37" s="187" t="s">
        <v>370</v>
      </c>
      <c r="FA37" s="187" t="s">
        <v>349</v>
      </c>
      <c r="FB37" s="187" t="s">
        <v>349</v>
      </c>
      <c r="FC37" s="187" t="s">
        <v>389</v>
      </c>
      <c r="FD37" s="187" t="s">
        <v>389</v>
      </c>
      <c r="FE37" s="187" t="s">
        <v>349</v>
      </c>
      <c r="FF37" s="187" t="s">
        <v>349</v>
      </c>
      <c r="FG37" s="187" t="s">
        <v>349</v>
      </c>
      <c r="FH37" s="187" t="s">
        <v>349</v>
      </c>
      <c r="FI37" s="187" t="s">
        <v>349</v>
      </c>
      <c r="FJ37" s="187" t="s">
        <v>349</v>
      </c>
      <c r="FK37" s="187" t="s">
        <v>349</v>
      </c>
      <c r="FL37" s="187" t="s">
        <v>349</v>
      </c>
      <c r="FM37" s="187" t="s">
        <v>349</v>
      </c>
      <c r="FN37" s="187" t="s">
        <v>349</v>
      </c>
      <c r="FO37" s="187" t="s">
        <v>349</v>
      </c>
      <c r="FP37" s="187" t="s">
        <v>349</v>
      </c>
      <c r="FQ37" s="187" t="s">
        <v>349</v>
      </c>
      <c r="FR37" s="187" t="s">
        <v>349</v>
      </c>
      <c r="FS37" s="187" t="s">
        <v>349</v>
      </c>
      <c r="FT37" s="187" t="s">
        <v>349</v>
      </c>
      <c r="FU37" s="187" t="s">
        <v>349</v>
      </c>
      <c r="FV37" s="187" t="s">
        <v>349</v>
      </c>
      <c r="FW37" s="187" t="s">
        <v>367</v>
      </c>
      <c r="FX37" s="187" t="s">
        <v>349</v>
      </c>
      <c r="FY37" s="187" t="s">
        <v>392</v>
      </c>
      <c r="FZ37" s="187" t="s">
        <v>349</v>
      </c>
      <c r="GA37" s="187" t="s">
        <v>349</v>
      </c>
      <c r="GB37" s="187" t="s">
        <v>349</v>
      </c>
      <c r="GC37" s="187" t="s">
        <v>349</v>
      </c>
      <c r="GD37" s="187" t="s">
        <v>349</v>
      </c>
      <c r="GE37" s="187" t="s">
        <v>393</v>
      </c>
      <c r="GF37" s="187" t="s">
        <v>393</v>
      </c>
      <c r="GG37" s="187" t="s">
        <v>394</v>
      </c>
      <c r="GH37" s="187" t="s">
        <v>396</v>
      </c>
      <c r="GI37" s="187" t="s">
        <v>396</v>
      </c>
      <c r="GJ37" s="187" t="s">
        <v>398</v>
      </c>
      <c r="GK37" s="187" t="s">
        <v>349</v>
      </c>
      <c r="GL37" s="187" t="s">
        <v>349</v>
      </c>
      <c r="GM37" s="187" t="s">
        <v>349</v>
      </c>
      <c r="GN37" s="187" t="s">
        <v>349</v>
      </c>
      <c r="GO37" s="187" t="s">
        <v>354</v>
      </c>
      <c r="GP37" s="187" t="s">
        <v>354</v>
      </c>
      <c r="GQ37" s="187" t="s">
        <v>349</v>
      </c>
      <c r="GR37" s="187" t="s">
        <v>349</v>
      </c>
      <c r="GS37" s="187" t="s">
        <v>401</v>
      </c>
      <c r="GT37" s="187" t="s">
        <v>401</v>
      </c>
      <c r="GU37" s="187" t="s">
        <v>401</v>
      </c>
      <c r="GV37" s="187" t="s">
        <v>349</v>
      </c>
      <c r="GW37" s="187" t="s">
        <v>349</v>
      </c>
      <c r="GX37" s="187" t="s">
        <v>349</v>
      </c>
      <c r="GY37" s="187" t="s">
        <v>349</v>
      </c>
      <c r="GZ37" s="187" t="s">
        <v>404</v>
      </c>
      <c r="HA37" s="187" t="s">
        <v>405</v>
      </c>
      <c r="HB37" s="187" t="s">
        <v>349</v>
      </c>
      <c r="HC37" s="187" t="s">
        <v>349</v>
      </c>
      <c r="HD37" s="187" t="s">
        <v>380</v>
      </c>
      <c r="HE37" s="187" t="s">
        <v>368</v>
      </c>
      <c r="HF37" s="187" t="s">
        <v>349</v>
      </c>
      <c r="HG37" s="187" t="s">
        <v>349</v>
      </c>
      <c r="HH37" s="187" t="s">
        <v>349</v>
      </c>
      <c r="HI37" s="187" t="s">
        <v>349</v>
      </c>
      <c r="HJ37" s="187" t="s">
        <v>349</v>
      </c>
      <c r="HK37" s="187" t="s">
        <v>349</v>
      </c>
      <c r="HL37" s="187" t="s">
        <v>349</v>
      </c>
      <c r="HM37" s="187" t="s">
        <v>349</v>
      </c>
      <c r="HN37" s="187" t="s">
        <v>349</v>
      </c>
      <c r="HO37" s="187" t="s">
        <v>349</v>
      </c>
      <c r="HP37" s="187" t="s">
        <v>349</v>
      </c>
      <c r="HQ37" s="187" t="s">
        <v>349</v>
      </c>
      <c r="HR37" s="187" t="s">
        <v>349</v>
      </c>
      <c r="HS37" s="187" t="s">
        <v>349</v>
      </c>
      <c r="HT37" s="187" t="s">
        <v>349</v>
      </c>
      <c r="HU37" s="187" t="s">
        <v>349</v>
      </c>
      <c r="HV37" s="187" t="s">
        <v>349</v>
      </c>
      <c r="HW37" s="187" t="s">
        <v>349</v>
      </c>
      <c r="HX37" s="187" t="s">
        <v>349</v>
      </c>
      <c r="HY37" s="187" t="s">
        <v>349</v>
      </c>
      <c r="HZ37" s="187" t="s">
        <v>349</v>
      </c>
      <c r="IA37" s="187" t="s">
        <v>349</v>
      </c>
      <c r="IB37" s="187" t="s">
        <v>349</v>
      </c>
      <c r="IC37" s="187" t="s">
        <v>349</v>
      </c>
      <c r="ID37" s="187" t="s">
        <v>349</v>
      </c>
      <c r="IE37" s="187" t="s">
        <v>349</v>
      </c>
      <c r="IF37" s="187" t="s">
        <v>349</v>
      </c>
      <c r="IG37" s="187" t="s">
        <v>349</v>
      </c>
      <c r="IH37" s="187" t="s">
        <v>349</v>
      </c>
      <c r="II37" s="187" t="s">
        <v>349</v>
      </c>
      <c r="IJ37" s="187" t="s">
        <v>349</v>
      </c>
      <c r="IK37" s="187" t="s">
        <v>349</v>
      </c>
      <c r="IL37" s="187" t="s">
        <v>349</v>
      </c>
      <c r="IM37" s="187" t="s">
        <v>365</v>
      </c>
      <c r="IN37" s="187" t="s">
        <v>365</v>
      </c>
      <c r="IO37" s="187" t="s">
        <v>365</v>
      </c>
      <c r="IP37" s="187" t="s">
        <v>365</v>
      </c>
      <c r="IQ37" s="187" t="s">
        <v>365</v>
      </c>
      <c r="IR37" s="187" t="s">
        <v>355</v>
      </c>
      <c r="IS37" s="187" t="s">
        <v>355</v>
      </c>
      <c r="IT37" s="187" t="s">
        <v>408</v>
      </c>
      <c r="IU37" s="187" t="s">
        <v>409</v>
      </c>
      <c r="IV37" s="187" t="s">
        <v>409</v>
      </c>
      <c r="IW37" s="187" t="s">
        <v>409</v>
      </c>
      <c r="IX37" s="187" t="s">
        <v>349</v>
      </c>
      <c r="IY37" s="187" t="s">
        <v>349</v>
      </c>
      <c r="IZ37" s="187" t="s">
        <v>349</v>
      </c>
      <c r="JA37" s="187" t="s">
        <v>349</v>
      </c>
      <c r="JB37" s="187" t="s">
        <v>349</v>
      </c>
      <c r="JC37" s="187" t="s">
        <v>349</v>
      </c>
      <c r="JD37" s="187" t="s">
        <v>349</v>
      </c>
      <c r="JE37" s="187" t="s">
        <v>349</v>
      </c>
      <c r="JF37" s="187" t="s">
        <v>349</v>
      </c>
      <c r="JG37" s="187" t="s">
        <v>410</v>
      </c>
      <c r="JH37" s="187" t="s">
        <v>371</v>
      </c>
      <c r="JI37" s="187" t="s">
        <v>367</v>
      </c>
      <c r="JJ37" s="187" t="s">
        <v>387</v>
      </c>
      <c r="JK37" s="187" t="s">
        <v>349</v>
      </c>
      <c r="JL37" s="187" t="s">
        <v>349</v>
      </c>
      <c r="JM37" s="187" t="s">
        <v>349</v>
      </c>
      <c r="JN37" s="187" t="s">
        <v>365</v>
      </c>
      <c r="JO37" s="187" t="s">
        <v>415</v>
      </c>
      <c r="JP37" s="187" t="s">
        <v>412</v>
      </c>
      <c r="JQ37" s="187" t="s">
        <v>412</v>
      </c>
      <c r="JR37" s="187" t="s">
        <v>412</v>
      </c>
      <c r="JS37" s="187" t="s">
        <v>349</v>
      </c>
      <c r="JT37" s="187" t="s">
        <v>349</v>
      </c>
      <c r="JU37" s="187" t="s">
        <v>349</v>
      </c>
      <c r="JV37" s="187" t="s">
        <v>349</v>
      </c>
      <c r="JW37" s="187" t="s">
        <v>349</v>
      </c>
      <c r="JX37" s="187" t="s">
        <v>349</v>
      </c>
      <c r="JY37" s="187" t="s">
        <v>416</v>
      </c>
      <c r="JZ37" s="187" t="s">
        <v>416</v>
      </c>
      <c r="KA37" s="187" t="s">
        <v>412</v>
      </c>
      <c r="KB37" s="187" t="s">
        <v>355</v>
      </c>
      <c r="KC37" s="187" t="s">
        <v>417</v>
      </c>
      <c r="KD37" s="187" t="s">
        <v>349</v>
      </c>
      <c r="KE37" s="187" t="s">
        <v>349</v>
      </c>
      <c r="KF37" s="187" t="s">
        <v>413</v>
      </c>
      <c r="KG37" s="187" t="s">
        <v>377</v>
      </c>
      <c r="KH37" s="187" t="s">
        <v>358</v>
      </c>
      <c r="KI37" s="187" t="s">
        <v>349</v>
      </c>
      <c r="KJ37" s="187" t="s">
        <v>349</v>
      </c>
      <c r="KK37" s="187" t="s">
        <v>349</v>
      </c>
      <c r="KL37" s="187" t="s">
        <v>364</v>
      </c>
      <c r="KM37" s="187" t="s">
        <v>349</v>
      </c>
      <c r="KN37" s="187" t="s">
        <v>349</v>
      </c>
      <c r="KO37" s="187" t="s">
        <v>349</v>
      </c>
      <c r="KP37" s="187" t="s">
        <v>349</v>
      </c>
      <c r="KQ37" s="187" t="s">
        <v>349</v>
      </c>
      <c r="KR37" s="187" t="s">
        <v>419</v>
      </c>
      <c r="KS37" s="187" t="s">
        <v>380</v>
      </c>
      <c r="KT37" s="187" t="s">
        <v>421</v>
      </c>
      <c r="KU37" s="187" t="s">
        <v>355</v>
      </c>
      <c r="KV37" s="187" t="s">
        <v>422</v>
      </c>
      <c r="KW37" s="187" t="s">
        <v>423</v>
      </c>
      <c r="KX37" s="187" t="s">
        <v>360</v>
      </c>
      <c r="KY37" s="187" t="s">
        <v>360</v>
      </c>
      <c r="KZ37" s="187" t="s">
        <v>349</v>
      </c>
      <c r="LA37" s="187" t="s">
        <v>349</v>
      </c>
      <c r="LB37" s="187" t="s">
        <v>349</v>
      </c>
      <c r="LC37" s="187" t="s">
        <v>349</v>
      </c>
      <c r="LD37" s="187" t="s">
        <v>349</v>
      </c>
      <c r="LE37" s="187" t="s">
        <v>349</v>
      </c>
      <c r="LF37" s="187" t="s">
        <v>349</v>
      </c>
      <c r="LG37" s="187" t="s">
        <v>349</v>
      </c>
      <c r="LH37" s="187" t="s">
        <v>349</v>
      </c>
      <c r="LI37" s="187" t="s">
        <v>349</v>
      </c>
      <c r="LJ37" s="187" t="s">
        <v>349</v>
      </c>
      <c r="LK37" s="187" t="s">
        <v>349</v>
      </c>
      <c r="LL37" s="187" t="s">
        <v>349</v>
      </c>
      <c r="LM37" s="187" t="s">
        <v>349</v>
      </c>
      <c r="LN37" s="187" t="s">
        <v>349</v>
      </c>
      <c r="LO37" s="187" t="s">
        <v>397</v>
      </c>
      <c r="LP37" s="187" t="s">
        <v>397</v>
      </c>
      <c r="LQ37" s="187" t="s">
        <v>397</v>
      </c>
      <c r="LR37" s="187" t="s">
        <v>426</v>
      </c>
      <c r="LS37" s="187" t="s">
        <v>349</v>
      </c>
      <c r="LT37" s="187" t="s">
        <v>349</v>
      </c>
      <c r="LU37" s="187" t="s">
        <v>349</v>
      </c>
      <c r="LV37" s="187" t="s">
        <v>349</v>
      </c>
      <c r="LW37" s="187" t="s">
        <v>349</v>
      </c>
      <c r="LX37" s="187" t="s">
        <v>428</v>
      </c>
      <c r="LY37" s="187" t="s">
        <v>429</v>
      </c>
      <c r="LZ37" s="187" t="s">
        <v>430</v>
      </c>
      <c r="MA37" s="187" t="s">
        <v>349</v>
      </c>
      <c r="MB37" s="187" t="s">
        <v>349</v>
      </c>
      <c r="MC37" s="187" t="s">
        <v>349</v>
      </c>
      <c r="MD37" s="187" t="s">
        <v>349</v>
      </c>
      <c r="ME37" s="187" t="s">
        <v>349</v>
      </c>
      <c r="MF37" s="187" t="s">
        <v>349</v>
      </c>
      <c r="MG37" s="187" t="s">
        <v>349</v>
      </c>
      <c r="MH37" s="187" t="s">
        <v>367</v>
      </c>
      <c r="MI37" s="187" t="s">
        <v>367</v>
      </c>
      <c r="MJ37" s="187" t="s">
        <v>367</v>
      </c>
      <c r="MK37" s="187" t="s">
        <v>367</v>
      </c>
      <c r="ML37" s="187" t="s">
        <v>434</v>
      </c>
      <c r="MM37" s="187" t="s">
        <v>349</v>
      </c>
      <c r="MN37" s="187" t="s">
        <v>349</v>
      </c>
      <c r="MO37" s="187" t="s">
        <v>349</v>
      </c>
      <c r="MP37" s="187" t="s">
        <v>436</v>
      </c>
      <c r="MQ37" s="187" t="s">
        <v>437</v>
      </c>
      <c r="MR37" s="187" t="s">
        <v>361</v>
      </c>
      <c r="MS37" s="187" t="s">
        <v>355</v>
      </c>
      <c r="MT37" s="187" t="s">
        <v>355</v>
      </c>
      <c r="MU37" s="187" t="s">
        <v>355</v>
      </c>
      <c r="MV37" s="187" t="s">
        <v>355</v>
      </c>
      <c r="MW37" s="187" t="s">
        <v>357</v>
      </c>
      <c r="MX37" s="187" t="s">
        <v>355</v>
      </c>
      <c r="MY37" s="187" t="s">
        <v>439</v>
      </c>
      <c r="MZ37" s="187" t="s">
        <v>349</v>
      </c>
      <c r="NA37" s="187" t="s">
        <v>349</v>
      </c>
      <c r="NB37" s="187" t="s">
        <v>349</v>
      </c>
      <c r="NC37" s="187" t="s">
        <v>349</v>
      </c>
      <c r="ND37" s="187" t="s">
        <v>349</v>
      </c>
      <c r="NE37" s="187" t="s">
        <v>349</v>
      </c>
      <c r="NF37" s="187" t="s">
        <v>349</v>
      </c>
      <c r="NG37" s="187" t="s">
        <v>349</v>
      </c>
      <c r="NH37" s="187" t="s">
        <v>441</v>
      </c>
      <c r="NI37" s="187" t="s">
        <v>441</v>
      </c>
      <c r="NJ37" s="187" t="s">
        <v>441</v>
      </c>
      <c r="NK37" s="187" t="s">
        <v>441</v>
      </c>
      <c r="NL37" s="187" t="s">
        <v>441</v>
      </c>
      <c r="NM37" s="187" t="s">
        <v>441</v>
      </c>
      <c r="NN37" s="187" t="s">
        <v>441</v>
      </c>
      <c r="NO37" s="187" t="s">
        <v>441</v>
      </c>
      <c r="NP37" s="187" t="s">
        <v>441</v>
      </c>
      <c r="NQ37" s="187" t="s">
        <v>441</v>
      </c>
      <c r="NR37" s="187" t="s">
        <v>441</v>
      </c>
      <c r="NS37" s="187" t="s">
        <v>441</v>
      </c>
      <c r="NT37" s="187" t="s">
        <v>441</v>
      </c>
      <c r="NU37" s="187" t="s">
        <v>441</v>
      </c>
      <c r="NV37" s="187" t="s">
        <v>441</v>
      </c>
      <c r="NW37" s="187" t="s">
        <v>441</v>
      </c>
      <c r="NX37" s="187" t="s">
        <v>441</v>
      </c>
      <c r="NY37" s="187" t="s">
        <v>441</v>
      </c>
      <c r="NZ37" s="187" t="s">
        <v>441</v>
      </c>
      <c r="OA37" s="187" t="s">
        <v>441</v>
      </c>
      <c r="OB37" s="187" t="s">
        <v>441</v>
      </c>
      <c r="OC37" s="187" t="s">
        <v>441</v>
      </c>
      <c r="OD37" s="187" t="s">
        <v>441</v>
      </c>
      <c r="OE37" s="187" t="s">
        <v>441</v>
      </c>
      <c r="OF37" s="187" t="s">
        <v>441</v>
      </c>
      <c r="OG37" s="187" t="s">
        <v>441</v>
      </c>
      <c r="OH37" s="187" t="s">
        <v>441</v>
      </c>
      <c r="OI37" s="187" t="s">
        <v>407</v>
      </c>
      <c r="OJ37" s="187" t="s">
        <v>407</v>
      </c>
      <c r="OK37" s="187" t="s">
        <v>399</v>
      </c>
      <c r="OL37" s="187" t="s">
        <v>399</v>
      </c>
      <c r="OM37" s="187" t="s">
        <v>442</v>
      </c>
      <c r="ON37" s="187" t="s">
        <v>443</v>
      </c>
      <c r="OO37" s="187" t="s">
        <v>443</v>
      </c>
      <c r="OP37" s="187" t="s">
        <v>355</v>
      </c>
      <c r="OQ37" s="187" t="s">
        <v>446</v>
      </c>
      <c r="OR37" s="187" t="s">
        <v>349</v>
      </c>
      <c r="OS37" s="187" t="s">
        <v>349</v>
      </c>
      <c r="OT37" s="187" t="s">
        <v>349</v>
      </c>
      <c r="OU37" s="187" t="s">
        <v>349</v>
      </c>
      <c r="OV37" s="187" t="s">
        <v>349</v>
      </c>
      <c r="OW37" s="187" t="s">
        <v>349</v>
      </c>
      <c r="OX37" s="187" t="s">
        <v>349</v>
      </c>
      <c r="OY37" s="187" t="s">
        <v>349</v>
      </c>
      <c r="OZ37" s="187" t="s">
        <v>349</v>
      </c>
      <c r="PA37" s="187" t="s">
        <v>349</v>
      </c>
      <c r="PB37" s="187" t="s">
        <v>349</v>
      </c>
      <c r="PC37" s="187" t="s">
        <v>349</v>
      </c>
      <c r="PD37" s="187" t="s">
        <v>349</v>
      </c>
      <c r="PE37" s="187" t="s">
        <v>447</v>
      </c>
      <c r="PF37" s="187" t="s">
        <v>349</v>
      </c>
      <c r="PG37" s="187" t="s">
        <v>448</v>
      </c>
      <c r="PH37" s="187" t="s">
        <v>349</v>
      </c>
      <c r="PI37" s="187" t="s">
        <v>355</v>
      </c>
      <c r="PJ37" s="187" t="s">
        <v>441</v>
      </c>
      <c r="PK37" s="187" t="s">
        <v>441</v>
      </c>
      <c r="PL37" s="187" t="s">
        <v>441</v>
      </c>
      <c r="PM37" s="187" t="s">
        <v>446</v>
      </c>
      <c r="PN37" s="187" t="s">
        <v>355</v>
      </c>
      <c r="PO37" s="187" t="s">
        <v>349</v>
      </c>
      <c r="PP37" s="187" t="s">
        <v>355</v>
      </c>
      <c r="PQ37" s="187" t="s">
        <v>355</v>
      </c>
      <c r="PR37" s="187" t="s">
        <v>355</v>
      </c>
      <c r="PS37" s="187" t="s">
        <v>355</v>
      </c>
      <c r="PT37" s="187" t="s">
        <v>355</v>
      </c>
      <c r="PU37" s="187" t="s">
        <v>355</v>
      </c>
      <c r="PV37" s="187" t="s">
        <v>355</v>
      </c>
      <c r="PW37" s="187" t="s">
        <v>399</v>
      </c>
      <c r="PX37" s="187" t="s">
        <v>399</v>
      </c>
      <c r="PY37" s="187" t="s">
        <v>355</v>
      </c>
      <c r="PZ37" s="187" t="s">
        <v>349</v>
      </c>
      <c r="QA37" s="187" t="s">
        <v>430</v>
      </c>
      <c r="QB37" s="187" t="s">
        <v>454</v>
      </c>
      <c r="QC37" s="187" t="s">
        <v>455</v>
      </c>
      <c r="QD37" s="187" t="s">
        <v>349</v>
      </c>
      <c r="QE37" s="187" t="s">
        <v>349</v>
      </c>
      <c r="QF37" s="187" t="s">
        <v>458</v>
      </c>
      <c r="QG37" s="187" t="s">
        <v>349</v>
      </c>
      <c r="QH37" s="187" t="s">
        <v>349</v>
      </c>
      <c r="QI37" s="187" t="s">
        <v>349</v>
      </c>
      <c r="QJ37" s="187" t="s">
        <v>349</v>
      </c>
      <c r="QK37" s="187" t="s">
        <v>461</v>
      </c>
      <c r="QL37" s="187" t="s">
        <v>349</v>
      </c>
      <c r="QM37" s="187" t="s">
        <v>349</v>
      </c>
      <c r="QN37" s="187" t="s">
        <v>349</v>
      </c>
      <c r="QO37" s="187" t="s">
        <v>349</v>
      </c>
      <c r="QP37" s="187" t="s">
        <v>349</v>
      </c>
      <c r="QQ37" s="187" t="s">
        <v>349</v>
      </c>
      <c r="QR37" s="187" t="s">
        <v>349</v>
      </c>
      <c r="QS37" s="187" t="s">
        <v>349</v>
      </c>
      <c r="QT37" s="187" t="s">
        <v>349</v>
      </c>
      <c r="QU37" s="187" t="s">
        <v>349</v>
      </c>
      <c r="QV37" s="187" t="s">
        <v>349</v>
      </c>
      <c r="QW37" s="187" t="s">
        <v>349</v>
      </c>
      <c r="QX37" s="187" t="s">
        <v>451</v>
      </c>
      <c r="QY37" s="187" t="s">
        <v>451</v>
      </c>
      <c r="QZ37" s="187" t="s">
        <v>368</v>
      </c>
      <c r="RA37" s="187" t="s">
        <v>349</v>
      </c>
      <c r="RB37" s="187" t="s">
        <v>349</v>
      </c>
      <c r="RC37" s="187" t="s">
        <v>349</v>
      </c>
      <c r="RD37" s="187" t="s">
        <v>349</v>
      </c>
      <c r="RE37" s="187" t="s">
        <v>349</v>
      </c>
      <c r="RF37" s="187" t="s">
        <v>349</v>
      </c>
      <c r="RG37" s="187" t="s">
        <v>349</v>
      </c>
      <c r="RH37" s="187" t="s">
        <v>349</v>
      </c>
      <c r="RI37" s="187" t="s">
        <v>349</v>
      </c>
      <c r="RJ37" s="187" t="s">
        <v>349</v>
      </c>
      <c r="RK37" s="187" t="s">
        <v>399</v>
      </c>
      <c r="RL37" s="187" t="s">
        <v>399</v>
      </c>
      <c r="RM37" s="187" t="s">
        <v>399</v>
      </c>
      <c r="RN37" s="187" t="s">
        <v>399</v>
      </c>
      <c r="RO37" s="187" t="s">
        <v>399</v>
      </c>
      <c r="RP37" s="187" t="s">
        <v>399</v>
      </c>
      <c r="RQ37" s="187" t="s">
        <v>399</v>
      </c>
      <c r="RR37" s="187" t="s">
        <v>349</v>
      </c>
      <c r="RS37" s="187" t="s">
        <v>349</v>
      </c>
      <c r="RT37" s="187" t="s">
        <v>355</v>
      </c>
      <c r="RU37" s="187" t="s">
        <v>462</v>
      </c>
      <c r="RV37" s="187" t="s">
        <v>462</v>
      </c>
      <c r="RW37" s="187" t="s">
        <v>462</v>
      </c>
      <c r="RX37" s="187" t="s">
        <v>463</v>
      </c>
      <c r="RY37" s="187" t="s">
        <v>465</v>
      </c>
      <c r="RZ37" s="187" t="s">
        <v>466</v>
      </c>
      <c r="SA37" s="187" t="s">
        <v>411</v>
      </c>
      <c r="SB37" s="187" t="s">
        <v>467</v>
      </c>
      <c r="SC37" s="187" t="s">
        <v>467</v>
      </c>
      <c r="SD37" s="187" t="s">
        <v>467</v>
      </c>
      <c r="SE37" s="187" t="s">
        <v>467</v>
      </c>
      <c r="SF37" s="187" t="s">
        <v>467</v>
      </c>
      <c r="SG37" s="187" t="s">
        <v>349</v>
      </c>
      <c r="SH37" s="187" t="s">
        <v>349</v>
      </c>
      <c r="SI37" s="187" t="s">
        <v>349</v>
      </c>
      <c r="SJ37" s="187" t="s">
        <v>349</v>
      </c>
      <c r="SK37" s="187" t="s">
        <v>468</v>
      </c>
      <c r="SL37" s="187" t="s">
        <v>349</v>
      </c>
      <c r="SM37" s="187" t="s">
        <v>399</v>
      </c>
      <c r="SN37" s="187" t="s">
        <v>349</v>
      </c>
      <c r="SO37" s="187" t="s">
        <v>349</v>
      </c>
      <c r="SP37" s="187" t="s">
        <v>349</v>
      </c>
      <c r="SQ37" s="187" t="s">
        <v>349</v>
      </c>
      <c r="SR37" s="187" t="s">
        <v>349</v>
      </c>
      <c r="SS37" s="187" t="s">
        <v>349</v>
      </c>
      <c r="ST37" s="187" t="s">
        <v>349</v>
      </c>
      <c r="SU37" s="187" t="s">
        <v>349</v>
      </c>
      <c r="SV37" s="187" t="s">
        <v>349</v>
      </c>
      <c r="SW37" s="187" t="s">
        <v>349</v>
      </c>
      <c r="SX37" s="187" t="s">
        <v>349</v>
      </c>
      <c r="SY37" s="187" t="s">
        <v>349</v>
      </c>
      <c r="SZ37" s="187" t="s">
        <v>349</v>
      </c>
      <c r="TA37" s="187" t="s">
        <v>346</v>
      </c>
      <c r="TB37" s="187" t="s">
        <v>349</v>
      </c>
      <c r="TC37" s="187" t="s">
        <v>468</v>
      </c>
      <c r="TD37" s="187" t="s">
        <v>349</v>
      </c>
      <c r="TE37" s="187" t="s">
        <v>475</v>
      </c>
      <c r="TF37" s="187" t="s">
        <v>349</v>
      </c>
      <c r="TG37" s="187" t="s">
        <v>349</v>
      </c>
      <c r="TH37" s="187" t="s">
        <v>349</v>
      </c>
      <c r="TI37" s="187" t="s">
        <v>478</v>
      </c>
      <c r="TJ37" s="187" t="s">
        <v>355</v>
      </c>
      <c r="TK37" s="187" t="s">
        <v>480</v>
      </c>
      <c r="TL37" s="187" t="s">
        <v>349</v>
      </c>
      <c r="TM37" s="187" t="s">
        <v>349</v>
      </c>
      <c r="TN37" s="187" t="s">
        <v>349</v>
      </c>
      <c r="TO37" s="187" t="s">
        <v>349</v>
      </c>
      <c r="TP37" s="187" t="s">
        <v>349</v>
      </c>
      <c r="TQ37" s="187" t="s">
        <v>349</v>
      </c>
      <c r="TR37" s="187" t="s">
        <v>349</v>
      </c>
      <c r="TS37" s="187" t="s">
        <v>482</v>
      </c>
      <c r="TT37" s="187" t="s">
        <v>482</v>
      </c>
      <c r="TU37" s="187" t="s">
        <v>478</v>
      </c>
      <c r="TV37" s="187" t="s">
        <v>355</v>
      </c>
      <c r="TW37" s="187" t="s">
        <v>349</v>
      </c>
      <c r="TX37" s="187" t="s">
        <v>349</v>
      </c>
      <c r="TY37" s="187" t="s">
        <v>349</v>
      </c>
      <c r="TZ37" s="187" t="s">
        <v>349</v>
      </c>
      <c r="UA37" s="187" t="s">
        <v>349</v>
      </c>
      <c r="UB37" s="187" t="s">
        <v>349</v>
      </c>
      <c r="UC37" s="187" t="s">
        <v>373</v>
      </c>
      <c r="UD37" s="187" t="s">
        <v>349</v>
      </c>
      <c r="UE37" s="187" t="s">
        <v>355</v>
      </c>
      <c r="UF37" s="187" t="s">
        <v>349</v>
      </c>
      <c r="UG37" s="187" t="s">
        <v>349</v>
      </c>
      <c r="UH37" s="187" t="s">
        <v>398</v>
      </c>
      <c r="UI37" s="187" t="s">
        <v>359</v>
      </c>
      <c r="UJ37" s="187" t="s">
        <v>349</v>
      </c>
      <c r="UK37" s="187" t="s">
        <v>355</v>
      </c>
      <c r="UL37" s="187" t="s">
        <v>355</v>
      </c>
      <c r="UM37" s="187" t="s">
        <v>466</v>
      </c>
      <c r="UN37" s="187" t="s">
        <v>349</v>
      </c>
      <c r="UO37" s="187" t="s">
        <v>349</v>
      </c>
      <c r="UP37" s="187" t="s">
        <v>349</v>
      </c>
      <c r="UQ37" s="187" t="s">
        <v>349</v>
      </c>
      <c r="UR37" s="187" t="s">
        <v>349</v>
      </c>
      <c r="US37" s="187" t="s">
        <v>349</v>
      </c>
      <c r="UT37" s="187" t="s">
        <v>349</v>
      </c>
      <c r="UU37" s="187" t="s">
        <v>355</v>
      </c>
      <c r="UV37" s="187" t="s">
        <v>355</v>
      </c>
      <c r="UW37" s="187" t="s">
        <v>349</v>
      </c>
      <c r="UX37" s="187" t="s">
        <v>349</v>
      </c>
      <c r="UY37" s="187" t="s">
        <v>496</v>
      </c>
      <c r="UZ37" s="187" t="s">
        <v>349</v>
      </c>
      <c r="VA37" s="187" t="s">
        <v>349</v>
      </c>
      <c r="VB37" s="187" t="s">
        <v>349</v>
      </c>
      <c r="VC37" s="187" t="s">
        <v>349</v>
      </c>
      <c r="VD37" s="187" t="s">
        <v>349</v>
      </c>
      <c r="VE37" s="187" t="s">
        <v>349</v>
      </c>
      <c r="VF37" s="187" t="s">
        <v>349</v>
      </c>
      <c r="VG37" s="187" t="s">
        <v>355</v>
      </c>
      <c r="VH37" s="187" t="s">
        <v>355</v>
      </c>
      <c r="VI37" s="187" t="s">
        <v>380</v>
      </c>
      <c r="VJ37" s="187" t="s">
        <v>367</v>
      </c>
      <c r="VK37" s="187" t="s">
        <v>384</v>
      </c>
      <c r="VL37" s="187" t="s">
        <v>349</v>
      </c>
      <c r="VM37" s="187" t="s">
        <v>349</v>
      </c>
      <c r="VN37" s="187" t="s">
        <v>349</v>
      </c>
      <c r="VO37" s="187" t="s">
        <v>502</v>
      </c>
      <c r="VP37" s="187" t="s">
        <v>355</v>
      </c>
      <c r="VQ37" s="187" t="s">
        <v>363</v>
      </c>
      <c r="VR37" s="187" t="s">
        <v>349</v>
      </c>
      <c r="VS37" s="187" t="s">
        <v>349</v>
      </c>
      <c r="VT37" s="187" t="s">
        <v>453</v>
      </c>
      <c r="VU37" s="187" t="s">
        <v>349</v>
      </c>
      <c r="VV37" s="187" t="s">
        <v>349</v>
      </c>
      <c r="VW37" s="187" t="s">
        <v>349</v>
      </c>
      <c r="VX37" s="187" t="s">
        <v>349</v>
      </c>
      <c r="VY37" s="187" t="s">
        <v>349</v>
      </c>
      <c r="VZ37" s="187" t="s">
        <v>349</v>
      </c>
      <c r="WA37" s="187" t="s">
        <v>349</v>
      </c>
      <c r="WB37" s="187" t="s">
        <v>349</v>
      </c>
      <c r="WC37" s="187" t="s">
        <v>349</v>
      </c>
      <c r="WD37" s="187" t="s">
        <v>349</v>
      </c>
      <c r="WE37" s="187" t="s">
        <v>352</v>
      </c>
      <c r="WF37" s="187" t="s">
        <v>349</v>
      </c>
      <c r="WG37" s="187" t="s">
        <v>349</v>
      </c>
      <c r="WH37" s="187" t="s">
        <v>349</v>
      </c>
      <c r="WI37" s="187" t="s">
        <v>355</v>
      </c>
      <c r="WJ37" s="187" t="s">
        <v>355</v>
      </c>
      <c r="WK37" s="187" t="s">
        <v>355</v>
      </c>
      <c r="WL37" s="187" t="s">
        <v>355</v>
      </c>
      <c r="WM37" s="187" t="s">
        <v>355</v>
      </c>
      <c r="WN37" s="187" t="s">
        <v>349</v>
      </c>
      <c r="WO37" s="187" t="s">
        <v>507</v>
      </c>
      <c r="WP37" s="187" t="s">
        <v>349</v>
      </c>
      <c r="WQ37" s="187" t="s">
        <v>349</v>
      </c>
      <c r="WR37" s="187" t="s">
        <v>349</v>
      </c>
      <c r="WS37" s="187" t="s">
        <v>464</v>
      </c>
      <c r="WT37" s="187" t="s">
        <v>506</v>
      </c>
      <c r="WU37" s="187" t="s">
        <v>506</v>
      </c>
      <c r="WV37" s="187" t="s">
        <v>349</v>
      </c>
      <c r="WW37" s="187" t="s">
        <v>349</v>
      </c>
      <c r="WX37" s="187" t="s">
        <v>349</v>
      </c>
      <c r="WY37" s="187" t="s">
        <v>349</v>
      </c>
      <c r="WZ37" s="187" t="s">
        <v>349</v>
      </c>
      <c r="XA37" s="187" t="s">
        <v>349</v>
      </c>
      <c r="XB37" s="187" t="s">
        <v>349</v>
      </c>
      <c r="XC37" s="187" t="s">
        <v>411</v>
      </c>
      <c r="XD37" s="187" t="s">
        <v>367</v>
      </c>
      <c r="XE37" s="187" t="s">
        <v>349</v>
      </c>
      <c r="XF37" s="187" t="s">
        <v>349</v>
      </c>
      <c r="XG37" s="187" t="s">
        <v>469</v>
      </c>
      <c r="XH37" s="187" t="s">
        <v>349</v>
      </c>
      <c r="XI37" s="187" t="s">
        <v>373</v>
      </c>
      <c r="XJ37" s="187" t="s">
        <v>349</v>
      </c>
      <c r="XK37" s="187" t="s">
        <v>349</v>
      </c>
      <c r="XL37" s="187" t="s">
        <v>355</v>
      </c>
      <c r="XM37" s="187" t="s">
        <v>386</v>
      </c>
      <c r="ZL37" s="182" t="str">
        <f t="shared" si="1"/>
        <v>BIRMINGHAM -LYON</v>
      </c>
      <c r="ZM37" s="183" t="s">
        <v>531</v>
      </c>
      <c r="ZN37" s="182" t="s">
        <v>517</v>
      </c>
      <c r="ZO37" s="182">
        <v>893</v>
      </c>
      <c r="ZP37" s="198">
        <v>280.40199999999999</v>
      </c>
      <c r="ZQ37" s="185"/>
      <c r="ZR37" s="185"/>
      <c r="ZS37" s="185"/>
      <c r="ZT37" s="185"/>
    </row>
    <row r="38" spans="1:696" s="181" customFormat="1" ht="43.2">
      <c r="A38" s="317"/>
      <c r="B38" s="175"/>
      <c r="C38" s="175"/>
      <c r="D38" s="741"/>
      <c r="E38" s="186" t="s">
        <v>340</v>
      </c>
      <c r="F38" s="187" t="s">
        <v>345</v>
      </c>
      <c r="G38" s="187" t="s">
        <v>347</v>
      </c>
      <c r="H38" s="187" t="s">
        <v>350</v>
      </c>
      <c r="I38" s="187" t="s">
        <v>350</v>
      </c>
      <c r="J38" s="187" t="s">
        <v>349</v>
      </c>
      <c r="K38" s="187" t="s">
        <v>349</v>
      </c>
      <c r="L38" s="187" t="s">
        <v>349</v>
      </c>
      <c r="M38" s="187" t="s">
        <v>349</v>
      </c>
      <c r="N38" s="187" t="s">
        <v>349</v>
      </c>
      <c r="O38" s="187" t="s">
        <v>351</v>
      </c>
      <c r="P38" s="187" t="s">
        <v>351</v>
      </c>
      <c r="Q38" s="187" t="s">
        <v>351</v>
      </c>
      <c r="R38" s="187" t="s">
        <v>351</v>
      </c>
      <c r="S38" s="187" t="s">
        <v>353</v>
      </c>
      <c r="T38" s="187" t="s">
        <v>352</v>
      </c>
      <c r="U38" s="187" t="s">
        <v>355</v>
      </c>
      <c r="V38" s="187" t="s">
        <v>355</v>
      </c>
      <c r="W38" s="187" t="s">
        <v>358</v>
      </c>
      <c r="X38" s="187" t="s">
        <v>349</v>
      </c>
      <c r="Y38" s="187" t="s">
        <v>361</v>
      </c>
      <c r="Z38" s="187" t="s">
        <v>363</v>
      </c>
      <c r="AA38" s="187" t="s">
        <v>349</v>
      </c>
      <c r="AB38" s="187" t="s">
        <v>349</v>
      </c>
      <c r="AC38" s="187" t="s">
        <v>364</v>
      </c>
      <c r="AD38" s="187" t="s">
        <v>364</v>
      </c>
      <c r="AE38" s="187" t="s">
        <v>364</v>
      </c>
      <c r="AF38" s="187" t="s">
        <v>364</v>
      </c>
      <c r="AG38" s="187" t="s">
        <v>364</v>
      </c>
      <c r="AH38" s="187" t="s">
        <v>364</v>
      </c>
      <c r="AI38" s="187" t="s">
        <v>365</v>
      </c>
      <c r="AJ38" s="187" t="s">
        <v>349</v>
      </c>
      <c r="AK38" s="187" t="s">
        <v>349</v>
      </c>
      <c r="AL38" s="187" t="s">
        <v>349</v>
      </c>
      <c r="AM38" s="187" t="s">
        <v>349</v>
      </c>
      <c r="AN38" s="187" t="s">
        <v>349</v>
      </c>
      <c r="AO38" s="187" t="s">
        <v>349</v>
      </c>
      <c r="AP38" s="187" t="s">
        <v>349</v>
      </c>
      <c r="AQ38" s="187" t="s">
        <v>367</v>
      </c>
      <c r="AR38" s="187" t="s">
        <v>367</v>
      </c>
      <c r="AS38" s="187" t="s">
        <v>367</v>
      </c>
      <c r="AT38" s="187" t="s">
        <v>367</v>
      </c>
      <c r="AU38" s="187" t="s">
        <v>367</v>
      </c>
      <c r="AV38" s="187" t="s">
        <v>367</v>
      </c>
      <c r="AW38" s="187" t="s">
        <v>367</v>
      </c>
      <c r="AX38" s="187" t="s">
        <v>367</v>
      </c>
      <c r="AY38" s="187" t="s">
        <v>367</v>
      </c>
      <c r="AZ38" s="187" t="s">
        <v>367</v>
      </c>
      <c r="BA38" s="187" t="s">
        <v>367</v>
      </c>
      <c r="BB38" s="187" t="s">
        <v>367</v>
      </c>
      <c r="BC38" s="187" t="s">
        <v>367</v>
      </c>
      <c r="BD38" s="187" t="s">
        <v>367</v>
      </c>
      <c r="BE38" s="187" t="s">
        <v>349</v>
      </c>
      <c r="BF38" s="187" t="s">
        <v>368</v>
      </c>
      <c r="BG38" s="187" t="s">
        <v>370</v>
      </c>
      <c r="BH38" s="187" t="s">
        <v>355</v>
      </c>
      <c r="BI38" s="187" t="s">
        <v>355</v>
      </c>
      <c r="BJ38" s="187" t="s">
        <v>355</v>
      </c>
      <c r="BK38" s="187" t="s">
        <v>346</v>
      </c>
      <c r="BL38" s="187" t="s">
        <v>372</v>
      </c>
      <c r="BM38" s="187" t="s">
        <v>372</v>
      </c>
      <c r="BN38" s="187" t="s">
        <v>372</v>
      </c>
      <c r="BO38" s="187" t="s">
        <v>372</v>
      </c>
      <c r="BP38" s="187" t="s">
        <v>372</v>
      </c>
      <c r="BQ38" s="187" t="s">
        <v>372</v>
      </c>
      <c r="BR38" s="187" t="s">
        <v>372</v>
      </c>
      <c r="BS38" s="187" t="s">
        <v>372</v>
      </c>
      <c r="BT38" s="187" t="s">
        <v>372</v>
      </c>
      <c r="BU38" s="187" t="s">
        <v>372</v>
      </c>
      <c r="BV38" s="187" t="s">
        <v>372</v>
      </c>
      <c r="BW38" s="187" t="s">
        <v>372</v>
      </c>
      <c r="BX38" s="187" t="s">
        <v>372</v>
      </c>
      <c r="BY38" s="187" t="s">
        <v>372</v>
      </c>
      <c r="BZ38" s="187" t="s">
        <v>372</v>
      </c>
      <c r="CA38" s="187" t="s">
        <v>372</v>
      </c>
      <c r="CB38" s="187" t="s">
        <v>349</v>
      </c>
      <c r="CC38" s="187" t="s">
        <v>349</v>
      </c>
      <c r="CD38" s="187" t="s">
        <v>349</v>
      </c>
      <c r="CE38" s="187" t="s">
        <v>349</v>
      </c>
      <c r="CF38" s="187" t="s">
        <v>349</v>
      </c>
      <c r="CG38" s="187" t="s">
        <v>374</v>
      </c>
      <c r="CH38" s="187" t="s">
        <v>374</v>
      </c>
      <c r="CI38" s="187" t="s">
        <v>365</v>
      </c>
      <c r="CJ38" s="187" t="s">
        <v>377</v>
      </c>
      <c r="CK38" s="187" t="s">
        <v>378</v>
      </c>
      <c r="CL38" s="187" t="s">
        <v>378</v>
      </c>
      <c r="CM38" s="187" t="s">
        <v>379</v>
      </c>
      <c r="CN38" s="187" t="s">
        <v>379</v>
      </c>
      <c r="CO38" s="187" t="s">
        <v>349</v>
      </c>
      <c r="CP38" s="187" t="s">
        <v>378</v>
      </c>
      <c r="CQ38" s="187" t="s">
        <v>349</v>
      </c>
      <c r="CR38" s="187" t="s">
        <v>349</v>
      </c>
      <c r="CS38" s="187" t="s">
        <v>349</v>
      </c>
      <c r="CT38" s="187" t="s">
        <v>349</v>
      </c>
      <c r="CU38" s="187" t="s">
        <v>349</v>
      </c>
      <c r="CV38" s="187" t="s">
        <v>349</v>
      </c>
      <c r="CW38" s="187" t="s">
        <v>349</v>
      </c>
      <c r="CX38" s="187" t="s">
        <v>349</v>
      </c>
      <c r="CY38" s="187" t="s">
        <v>349</v>
      </c>
      <c r="CZ38" s="187" t="s">
        <v>380</v>
      </c>
      <c r="DA38" s="187" t="s">
        <v>380</v>
      </c>
      <c r="DB38" s="187" t="s">
        <v>380</v>
      </c>
      <c r="DC38" s="187" t="s">
        <v>380</v>
      </c>
      <c r="DD38" s="187" t="s">
        <v>380</v>
      </c>
      <c r="DE38" s="187" t="s">
        <v>380</v>
      </c>
      <c r="DF38" s="187" t="s">
        <v>380</v>
      </c>
      <c r="DG38" s="187" t="s">
        <v>380</v>
      </c>
      <c r="DH38" s="187" t="s">
        <v>380</v>
      </c>
      <c r="DI38" s="187" t="s">
        <v>380</v>
      </c>
      <c r="DJ38" s="187" t="s">
        <v>380</v>
      </c>
      <c r="DK38" s="187" t="s">
        <v>380</v>
      </c>
      <c r="DL38" s="187" t="s">
        <v>380</v>
      </c>
      <c r="DM38" s="187" t="s">
        <v>381</v>
      </c>
      <c r="DN38" s="187" t="s">
        <v>381</v>
      </c>
      <c r="DO38" s="187" t="s">
        <v>381</v>
      </c>
      <c r="DP38" s="187" t="s">
        <v>349</v>
      </c>
      <c r="DQ38" s="187" t="s">
        <v>383</v>
      </c>
      <c r="DR38" s="187" t="s">
        <v>383</v>
      </c>
      <c r="DS38" s="187" t="s">
        <v>383</v>
      </c>
      <c r="DT38" s="187" t="s">
        <v>383</v>
      </c>
      <c r="DU38" s="187" t="s">
        <v>383</v>
      </c>
      <c r="DV38" s="187" t="s">
        <v>383</v>
      </c>
      <c r="DW38" s="187" t="s">
        <v>383</v>
      </c>
      <c r="DX38" s="187" t="s">
        <v>349</v>
      </c>
      <c r="DY38" s="187" t="s">
        <v>349</v>
      </c>
      <c r="DZ38" s="187" t="s">
        <v>363</v>
      </c>
      <c r="EA38" s="187" t="s">
        <v>385</v>
      </c>
      <c r="EB38" s="187" t="s">
        <v>385</v>
      </c>
      <c r="EC38" s="187" t="s">
        <v>385</v>
      </c>
      <c r="ED38" s="187" t="s">
        <v>385</v>
      </c>
      <c r="EE38" s="187" t="s">
        <v>385</v>
      </c>
      <c r="EF38" s="187" t="s">
        <v>386</v>
      </c>
      <c r="EG38" s="187" t="s">
        <v>349</v>
      </c>
      <c r="EH38" s="187" t="s">
        <v>387</v>
      </c>
      <c r="EI38" s="187" t="s">
        <v>387</v>
      </c>
      <c r="EJ38" s="187" t="s">
        <v>349</v>
      </c>
      <c r="EK38" s="187" t="s">
        <v>349</v>
      </c>
      <c r="EL38" s="187" t="s">
        <v>349</v>
      </c>
      <c r="EM38" s="187" t="s">
        <v>349</v>
      </c>
      <c r="EN38" s="187" t="s">
        <v>354</v>
      </c>
      <c r="EO38" s="187" t="s">
        <v>354</v>
      </c>
      <c r="EP38" s="187" t="s">
        <v>354</v>
      </c>
      <c r="EQ38" s="187" t="s">
        <v>354</v>
      </c>
      <c r="ER38" s="187" t="s">
        <v>354</v>
      </c>
      <c r="ES38" s="187" t="s">
        <v>370</v>
      </c>
      <c r="ET38" s="187" t="s">
        <v>370</v>
      </c>
      <c r="EU38" s="187" t="s">
        <v>370</v>
      </c>
      <c r="EV38" s="187" t="s">
        <v>370</v>
      </c>
      <c r="EW38" s="187" t="s">
        <v>370</v>
      </c>
      <c r="EX38" s="187" t="s">
        <v>349</v>
      </c>
      <c r="EY38" s="187" t="s">
        <v>349</v>
      </c>
      <c r="EZ38" s="187" t="s">
        <v>349</v>
      </c>
      <c r="FA38" s="187" t="s">
        <v>388</v>
      </c>
      <c r="FB38" s="187" t="s">
        <v>388</v>
      </c>
      <c r="FC38" s="187" t="s">
        <v>349</v>
      </c>
      <c r="FD38" s="187" t="s">
        <v>349</v>
      </c>
      <c r="FE38" s="187" t="s">
        <v>389</v>
      </c>
      <c r="FF38" s="187" t="s">
        <v>389</v>
      </c>
      <c r="FG38" s="187" t="s">
        <v>389</v>
      </c>
      <c r="FH38" s="187" t="s">
        <v>390</v>
      </c>
      <c r="FI38" s="187" t="s">
        <v>390</v>
      </c>
      <c r="FJ38" s="187" t="s">
        <v>390</v>
      </c>
      <c r="FK38" s="187" t="s">
        <v>390</v>
      </c>
      <c r="FL38" s="187" t="s">
        <v>390</v>
      </c>
      <c r="FM38" s="187" t="s">
        <v>390</v>
      </c>
      <c r="FN38" s="187" t="s">
        <v>390</v>
      </c>
      <c r="FO38" s="187" t="s">
        <v>390</v>
      </c>
      <c r="FP38" s="187" t="s">
        <v>390</v>
      </c>
      <c r="FQ38" s="187" t="s">
        <v>390</v>
      </c>
      <c r="FR38" s="187" t="s">
        <v>390</v>
      </c>
      <c r="FS38" s="187" t="s">
        <v>390</v>
      </c>
      <c r="FT38" s="187" t="s">
        <v>390</v>
      </c>
      <c r="FU38" s="187" t="s">
        <v>390</v>
      </c>
      <c r="FV38" s="187" t="s">
        <v>391</v>
      </c>
      <c r="FW38" s="187" t="s">
        <v>355</v>
      </c>
      <c r="FX38" s="187" t="s">
        <v>392</v>
      </c>
      <c r="FY38" s="187" t="s">
        <v>349</v>
      </c>
      <c r="FZ38" s="187" t="s">
        <v>393</v>
      </c>
      <c r="GA38" s="187" t="s">
        <v>393</v>
      </c>
      <c r="GB38" s="187" t="s">
        <v>393</v>
      </c>
      <c r="GC38" s="187" t="s">
        <v>393</v>
      </c>
      <c r="GD38" s="187" t="s">
        <v>393</v>
      </c>
      <c r="GE38" s="187" t="s">
        <v>349</v>
      </c>
      <c r="GF38" s="187" t="s">
        <v>349</v>
      </c>
      <c r="GG38" s="187" t="s">
        <v>395</v>
      </c>
      <c r="GH38" s="187" t="s">
        <v>397</v>
      </c>
      <c r="GI38" s="187" t="s">
        <v>397</v>
      </c>
      <c r="GJ38" s="187" t="s">
        <v>355</v>
      </c>
      <c r="GK38" s="187" t="s">
        <v>398</v>
      </c>
      <c r="GL38" s="187" t="s">
        <v>398</v>
      </c>
      <c r="GM38" s="187" t="s">
        <v>398</v>
      </c>
      <c r="GN38" s="187" t="s">
        <v>398</v>
      </c>
      <c r="GO38" s="187" t="s">
        <v>399</v>
      </c>
      <c r="GP38" s="187" t="s">
        <v>399</v>
      </c>
      <c r="GQ38" s="187" t="s">
        <v>400</v>
      </c>
      <c r="GR38" s="187" t="s">
        <v>400</v>
      </c>
      <c r="GS38" s="187" t="s">
        <v>402</v>
      </c>
      <c r="GT38" s="187" t="s">
        <v>402</v>
      </c>
      <c r="GU38" s="187" t="s">
        <v>402</v>
      </c>
      <c r="GV38" s="187" t="s">
        <v>403</v>
      </c>
      <c r="GW38" s="187" t="s">
        <v>403</v>
      </c>
      <c r="GX38" s="187" t="s">
        <v>403</v>
      </c>
      <c r="GY38" s="187" t="s">
        <v>403</v>
      </c>
      <c r="GZ38" s="187" t="s">
        <v>355</v>
      </c>
      <c r="HA38" s="187" t="s">
        <v>384</v>
      </c>
      <c r="HB38" s="187" t="s">
        <v>406</v>
      </c>
      <c r="HC38" s="187" t="s">
        <v>406</v>
      </c>
      <c r="HD38" s="187" t="s">
        <v>407</v>
      </c>
      <c r="HE38" s="187" t="s">
        <v>380</v>
      </c>
      <c r="HF38" s="187" t="s">
        <v>376</v>
      </c>
      <c r="HG38" s="187" t="s">
        <v>377</v>
      </c>
      <c r="HH38" s="187" t="s">
        <v>377</v>
      </c>
      <c r="HI38" s="187" t="s">
        <v>377</v>
      </c>
      <c r="HJ38" s="187" t="s">
        <v>377</v>
      </c>
      <c r="HK38" s="187" t="s">
        <v>377</v>
      </c>
      <c r="HL38" s="187" t="s">
        <v>365</v>
      </c>
      <c r="HM38" s="187" t="s">
        <v>365</v>
      </c>
      <c r="HN38" s="187" t="s">
        <v>365</v>
      </c>
      <c r="HO38" s="187" t="s">
        <v>365</v>
      </c>
      <c r="HP38" s="187" t="s">
        <v>365</v>
      </c>
      <c r="HQ38" s="187" t="s">
        <v>365</v>
      </c>
      <c r="HR38" s="187" t="s">
        <v>365</v>
      </c>
      <c r="HS38" s="187" t="s">
        <v>365</v>
      </c>
      <c r="HT38" s="187" t="s">
        <v>365</v>
      </c>
      <c r="HU38" s="187" t="s">
        <v>365</v>
      </c>
      <c r="HV38" s="187" t="s">
        <v>365</v>
      </c>
      <c r="HW38" s="187" t="s">
        <v>365</v>
      </c>
      <c r="HX38" s="187" t="s">
        <v>365</v>
      </c>
      <c r="HY38" s="187" t="s">
        <v>365</v>
      </c>
      <c r="HZ38" s="187" t="s">
        <v>365</v>
      </c>
      <c r="IA38" s="187" t="s">
        <v>365</v>
      </c>
      <c r="IB38" s="187" t="s">
        <v>365</v>
      </c>
      <c r="IC38" s="187" t="s">
        <v>365</v>
      </c>
      <c r="ID38" s="187" t="s">
        <v>365</v>
      </c>
      <c r="IE38" s="187" t="s">
        <v>365</v>
      </c>
      <c r="IF38" s="187" t="s">
        <v>365</v>
      </c>
      <c r="IG38" s="187" t="s">
        <v>365</v>
      </c>
      <c r="IH38" s="187" t="s">
        <v>365</v>
      </c>
      <c r="II38" s="187" t="s">
        <v>365</v>
      </c>
      <c r="IJ38" s="187" t="s">
        <v>365</v>
      </c>
      <c r="IK38" s="187" t="s">
        <v>365</v>
      </c>
      <c r="IL38" s="187" t="s">
        <v>365</v>
      </c>
      <c r="IM38" s="187" t="s">
        <v>349</v>
      </c>
      <c r="IN38" s="187" t="s">
        <v>349</v>
      </c>
      <c r="IO38" s="187" t="s">
        <v>349</v>
      </c>
      <c r="IP38" s="187" t="s">
        <v>349</v>
      </c>
      <c r="IQ38" s="187" t="s">
        <v>349</v>
      </c>
      <c r="IR38" s="187" t="s">
        <v>369</v>
      </c>
      <c r="IS38" s="187" t="s">
        <v>369</v>
      </c>
      <c r="IT38" s="187" t="s">
        <v>349</v>
      </c>
      <c r="IU38" s="187" t="s">
        <v>349</v>
      </c>
      <c r="IV38" s="187" t="s">
        <v>349</v>
      </c>
      <c r="IW38" s="187" t="s">
        <v>349</v>
      </c>
      <c r="IX38" s="187" t="s">
        <v>409</v>
      </c>
      <c r="IY38" s="187" t="s">
        <v>409</v>
      </c>
      <c r="IZ38" s="187" t="s">
        <v>409</v>
      </c>
      <c r="JA38" s="187" t="s">
        <v>409</v>
      </c>
      <c r="JB38" s="187" t="s">
        <v>410</v>
      </c>
      <c r="JC38" s="187" t="s">
        <v>410</v>
      </c>
      <c r="JD38" s="187" t="s">
        <v>410</v>
      </c>
      <c r="JE38" s="187" t="s">
        <v>410</v>
      </c>
      <c r="JF38" s="187" t="s">
        <v>410</v>
      </c>
      <c r="JG38" s="187" t="s">
        <v>349</v>
      </c>
      <c r="JH38" s="187" t="s">
        <v>411</v>
      </c>
      <c r="JI38" s="187" t="s">
        <v>387</v>
      </c>
      <c r="JJ38" s="187" t="s">
        <v>412</v>
      </c>
      <c r="JK38" s="187" t="s">
        <v>413</v>
      </c>
      <c r="JL38" s="187" t="s">
        <v>413</v>
      </c>
      <c r="JM38" s="187" t="s">
        <v>413</v>
      </c>
      <c r="JN38" s="187" t="s">
        <v>414</v>
      </c>
      <c r="JO38" s="187" t="s">
        <v>349</v>
      </c>
      <c r="JP38" s="187" t="s">
        <v>349</v>
      </c>
      <c r="JQ38" s="187" t="s">
        <v>349</v>
      </c>
      <c r="JR38" s="187" t="s">
        <v>349</v>
      </c>
      <c r="JS38" s="187" t="s">
        <v>412</v>
      </c>
      <c r="JT38" s="187" t="s">
        <v>412</v>
      </c>
      <c r="JU38" s="187" t="s">
        <v>412</v>
      </c>
      <c r="JV38" s="187" t="s">
        <v>412</v>
      </c>
      <c r="JW38" s="187" t="s">
        <v>416</v>
      </c>
      <c r="JX38" s="187" t="s">
        <v>416</v>
      </c>
      <c r="JY38" s="187" t="s">
        <v>349</v>
      </c>
      <c r="JZ38" s="187" t="s">
        <v>349</v>
      </c>
      <c r="KA38" s="187" t="s">
        <v>355</v>
      </c>
      <c r="KB38" s="187" t="s">
        <v>412</v>
      </c>
      <c r="KC38" s="187" t="s">
        <v>349</v>
      </c>
      <c r="KD38" s="187" t="s">
        <v>417</v>
      </c>
      <c r="KE38" s="187" t="s">
        <v>418</v>
      </c>
      <c r="KF38" s="187" t="s">
        <v>386</v>
      </c>
      <c r="KG38" s="187" t="s">
        <v>418</v>
      </c>
      <c r="KH38" s="187" t="s">
        <v>349</v>
      </c>
      <c r="KI38" s="187" t="s">
        <v>369</v>
      </c>
      <c r="KJ38" s="187" t="s">
        <v>369</v>
      </c>
      <c r="KK38" s="187" t="s">
        <v>369</v>
      </c>
      <c r="KL38" s="187" t="s">
        <v>360</v>
      </c>
      <c r="KM38" s="187" t="s">
        <v>419</v>
      </c>
      <c r="KN38" s="187" t="s">
        <v>419</v>
      </c>
      <c r="KO38" s="187" t="s">
        <v>419</v>
      </c>
      <c r="KP38" s="187" t="s">
        <v>419</v>
      </c>
      <c r="KQ38" s="187" t="s">
        <v>419</v>
      </c>
      <c r="KR38" s="187" t="s">
        <v>349</v>
      </c>
      <c r="KS38" s="187" t="s">
        <v>420</v>
      </c>
      <c r="KT38" s="187" t="s">
        <v>349</v>
      </c>
      <c r="KU38" s="187" t="s">
        <v>397</v>
      </c>
      <c r="KV38" s="187" t="s">
        <v>349</v>
      </c>
      <c r="KW38" s="187" t="s">
        <v>424</v>
      </c>
      <c r="KX38" s="187" t="s">
        <v>349</v>
      </c>
      <c r="KY38" s="187" t="s">
        <v>349</v>
      </c>
      <c r="KZ38" s="187" t="s">
        <v>360</v>
      </c>
      <c r="LA38" s="187" t="s">
        <v>360</v>
      </c>
      <c r="LB38" s="187" t="s">
        <v>360</v>
      </c>
      <c r="LC38" s="187" t="s">
        <v>360</v>
      </c>
      <c r="LD38" s="187" t="s">
        <v>425</v>
      </c>
      <c r="LE38" s="187" t="s">
        <v>425</v>
      </c>
      <c r="LF38" s="187" t="s">
        <v>375</v>
      </c>
      <c r="LG38" s="187" t="s">
        <v>375</v>
      </c>
      <c r="LH38" s="187" t="s">
        <v>375</v>
      </c>
      <c r="LI38" s="187" t="s">
        <v>375</v>
      </c>
      <c r="LJ38" s="187" t="s">
        <v>375</v>
      </c>
      <c r="LK38" s="187" t="s">
        <v>375</v>
      </c>
      <c r="LL38" s="187" t="s">
        <v>375</v>
      </c>
      <c r="LM38" s="187" t="s">
        <v>397</v>
      </c>
      <c r="LN38" s="187" t="s">
        <v>397</v>
      </c>
      <c r="LO38" s="187" t="s">
        <v>349</v>
      </c>
      <c r="LP38" s="187" t="s">
        <v>349</v>
      </c>
      <c r="LQ38" s="187" t="s">
        <v>349</v>
      </c>
      <c r="LR38" s="187" t="s">
        <v>349</v>
      </c>
      <c r="LS38" s="187" t="s">
        <v>426</v>
      </c>
      <c r="LT38" s="187" t="s">
        <v>426</v>
      </c>
      <c r="LU38" s="187" t="s">
        <v>426</v>
      </c>
      <c r="LV38" s="187" t="s">
        <v>427</v>
      </c>
      <c r="LW38" s="187" t="s">
        <v>428</v>
      </c>
      <c r="LX38" s="187" t="s">
        <v>349</v>
      </c>
      <c r="LY38" s="187" t="s">
        <v>430</v>
      </c>
      <c r="LZ38" s="187" t="s">
        <v>429</v>
      </c>
      <c r="MA38" s="187" t="s">
        <v>431</v>
      </c>
      <c r="MB38" s="187" t="s">
        <v>431</v>
      </c>
      <c r="MC38" s="187" t="s">
        <v>432</v>
      </c>
      <c r="MD38" s="187" t="s">
        <v>432</v>
      </c>
      <c r="ME38" s="187" t="s">
        <v>433</v>
      </c>
      <c r="MF38" s="187" t="s">
        <v>433</v>
      </c>
      <c r="MG38" s="187" t="s">
        <v>433</v>
      </c>
      <c r="MH38" s="187" t="s">
        <v>399</v>
      </c>
      <c r="MI38" s="187" t="s">
        <v>399</v>
      </c>
      <c r="MJ38" s="187" t="s">
        <v>399</v>
      </c>
      <c r="MK38" s="187" t="s">
        <v>399</v>
      </c>
      <c r="ML38" s="187" t="s">
        <v>349</v>
      </c>
      <c r="MM38" s="187" t="s">
        <v>435</v>
      </c>
      <c r="MN38" s="187" t="s">
        <v>435</v>
      </c>
      <c r="MO38" s="187" t="s">
        <v>436</v>
      </c>
      <c r="MP38" s="187" t="s">
        <v>349</v>
      </c>
      <c r="MQ38" s="187" t="s">
        <v>349</v>
      </c>
      <c r="MR38" s="187" t="s">
        <v>349</v>
      </c>
      <c r="MS38" s="187" t="s">
        <v>438</v>
      </c>
      <c r="MT38" s="187" t="s">
        <v>438</v>
      </c>
      <c r="MU38" s="187" t="s">
        <v>438</v>
      </c>
      <c r="MV38" s="187" t="s">
        <v>360</v>
      </c>
      <c r="MW38" s="187" t="s">
        <v>349</v>
      </c>
      <c r="MX38" s="187" t="s">
        <v>357</v>
      </c>
      <c r="MY38" s="187" t="s">
        <v>399</v>
      </c>
      <c r="MZ38" s="187" t="s">
        <v>440</v>
      </c>
      <c r="NA38" s="187" t="s">
        <v>440</v>
      </c>
      <c r="NB38" s="187" t="s">
        <v>440</v>
      </c>
      <c r="NC38" s="187" t="s">
        <v>441</v>
      </c>
      <c r="ND38" s="187" t="s">
        <v>441</v>
      </c>
      <c r="NE38" s="187" t="s">
        <v>441</v>
      </c>
      <c r="NF38" s="187" t="s">
        <v>441</v>
      </c>
      <c r="NG38" s="187" t="s">
        <v>441</v>
      </c>
      <c r="NH38" s="187" t="s">
        <v>349</v>
      </c>
      <c r="NI38" s="187" t="s">
        <v>349</v>
      </c>
      <c r="NJ38" s="187" t="s">
        <v>349</v>
      </c>
      <c r="NK38" s="187" t="s">
        <v>349</v>
      </c>
      <c r="NL38" s="187" t="s">
        <v>349</v>
      </c>
      <c r="NM38" s="187" t="s">
        <v>349</v>
      </c>
      <c r="NN38" s="187" t="s">
        <v>349</v>
      </c>
      <c r="NO38" s="187" t="s">
        <v>349</v>
      </c>
      <c r="NP38" s="187" t="s">
        <v>349</v>
      </c>
      <c r="NQ38" s="187" t="s">
        <v>349</v>
      </c>
      <c r="NR38" s="187" t="s">
        <v>349</v>
      </c>
      <c r="NS38" s="187" t="s">
        <v>349</v>
      </c>
      <c r="NT38" s="187" t="s">
        <v>349</v>
      </c>
      <c r="NU38" s="187" t="s">
        <v>349</v>
      </c>
      <c r="NV38" s="187" t="s">
        <v>349</v>
      </c>
      <c r="NW38" s="187" t="s">
        <v>349</v>
      </c>
      <c r="NX38" s="187" t="s">
        <v>349</v>
      </c>
      <c r="NY38" s="187" t="s">
        <v>349</v>
      </c>
      <c r="NZ38" s="187" t="s">
        <v>349</v>
      </c>
      <c r="OA38" s="187" t="s">
        <v>349</v>
      </c>
      <c r="OB38" s="187" t="s">
        <v>349</v>
      </c>
      <c r="OC38" s="187" t="s">
        <v>349</v>
      </c>
      <c r="OD38" s="187" t="s">
        <v>349</v>
      </c>
      <c r="OE38" s="187" t="s">
        <v>349</v>
      </c>
      <c r="OF38" s="187" t="s">
        <v>349</v>
      </c>
      <c r="OG38" s="187" t="s">
        <v>349</v>
      </c>
      <c r="OH38" s="187" t="s">
        <v>349</v>
      </c>
      <c r="OI38" s="187" t="s">
        <v>399</v>
      </c>
      <c r="OJ38" s="187" t="s">
        <v>399</v>
      </c>
      <c r="OK38" s="187" t="s">
        <v>407</v>
      </c>
      <c r="OL38" s="187" t="s">
        <v>407</v>
      </c>
      <c r="OM38" s="187" t="s">
        <v>355</v>
      </c>
      <c r="ON38" s="187" t="s">
        <v>444</v>
      </c>
      <c r="OO38" s="187" t="s">
        <v>444</v>
      </c>
      <c r="OP38" s="187" t="s">
        <v>445</v>
      </c>
      <c r="OQ38" s="187" t="s">
        <v>349</v>
      </c>
      <c r="OR38" s="187" t="s">
        <v>446</v>
      </c>
      <c r="OS38" s="187" t="s">
        <v>446</v>
      </c>
      <c r="OT38" s="187" t="s">
        <v>446</v>
      </c>
      <c r="OU38" s="187" t="s">
        <v>446</v>
      </c>
      <c r="OV38" s="187" t="s">
        <v>446</v>
      </c>
      <c r="OW38" s="187" t="s">
        <v>446</v>
      </c>
      <c r="OX38" s="187" t="s">
        <v>447</v>
      </c>
      <c r="OY38" s="187" t="s">
        <v>447</v>
      </c>
      <c r="OZ38" s="187" t="s">
        <v>447</v>
      </c>
      <c r="PA38" s="187" t="s">
        <v>447</v>
      </c>
      <c r="PB38" s="187" t="s">
        <v>447</v>
      </c>
      <c r="PC38" s="187" t="s">
        <v>447</v>
      </c>
      <c r="PD38" s="187" t="s">
        <v>447</v>
      </c>
      <c r="PE38" s="187" t="s">
        <v>349</v>
      </c>
      <c r="PF38" s="187" t="s">
        <v>448</v>
      </c>
      <c r="PG38" s="187" t="s">
        <v>349</v>
      </c>
      <c r="PH38" s="187" t="s">
        <v>449</v>
      </c>
      <c r="PI38" s="187" t="s">
        <v>441</v>
      </c>
      <c r="PJ38" s="187" t="s">
        <v>355</v>
      </c>
      <c r="PK38" s="187" t="s">
        <v>355</v>
      </c>
      <c r="PL38" s="187" t="s">
        <v>355</v>
      </c>
      <c r="PM38" s="187" t="s">
        <v>355</v>
      </c>
      <c r="PN38" s="187" t="s">
        <v>446</v>
      </c>
      <c r="PO38" s="187" t="s">
        <v>450</v>
      </c>
      <c r="PP38" s="187" t="s">
        <v>399</v>
      </c>
      <c r="PQ38" s="187" t="s">
        <v>399</v>
      </c>
      <c r="PR38" s="187" t="s">
        <v>399</v>
      </c>
      <c r="PS38" s="187" t="s">
        <v>399</v>
      </c>
      <c r="PT38" s="187" t="s">
        <v>399</v>
      </c>
      <c r="PU38" s="187" t="s">
        <v>399</v>
      </c>
      <c r="PV38" s="187" t="s">
        <v>399</v>
      </c>
      <c r="PW38" s="187" t="s">
        <v>355</v>
      </c>
      <c r="PX38" s="187" t="s">
        <v>355</v>
      </c>
      <c r="PY38" s="187" t="s">
        <v>451</v>
      </c>
      <c r="PZ38" s="187" t="s">
        <v>452</v>
      </c>
      <c r="QA38" s="187" t="s">
        <v>453</v>
      </c>
      <c r="QB38" s="187" t="s">
        <v>405</v>
      </c>
      <c r="QC38" s="187" t="s">
        <v>456</v>
      </c>
      <c r="QD38" s="187" t="s">
        <v>457</v>
      </c>
      <c r="QE38" s="187" t="s">
        <v>457</v>
      </c>
      <c r="QF38" s="187" t="s">
        <v>399</v>
      </c>
      <c r="QG38" s="187" t="s">
        <v>459</v>
      </c>
      <c r="QH38" s="187" t="s">
        <v>460</v>
      </c>
      <c r="QI38" s="187" t="s">
        <v>461</v>
      </c>
      <c r="QJ38" s="187" t="s">
        <v>461</v>
      </c>
      <c r="QK38" s="187" t="s">
        <v>349</v>
      </c>
      <c r="QL38" s="187" t="s">
        <v>451</v>
      </c>
      <c r="QM38" s="187" t="s">
        <v>451</v>
      </c>
      <c r="QN38" s="187" t="s">
        <v>451</v>
      </c>
      <c r="QO38" s="187" t="s">
        <v>451</v>
      </c>
      <c r="QP38" s="187" t="s">
        <v>451</v>
      </c>
      <c r="QQ38" s="187" t="s">
        <v>451</v>
      </c>
      <c r="QR38" s="187" t="s">
        <v>451</v>
      </c>
      <c r="QS38" s="187" t="s">
        <v>451</v>
      </c>
      <c r="QT38" s="187" t="s">
        <v>451</v>
      </c>
      <c r="QU38" s="187" t="s">
        <v>451</v>
      </c>
      <c r="QV38" s="187" t="s">
        <v>451</v>
      </c>
      <c r="QW38" s="187" t="s">
        <v>451</v>
      </c>
      <c r="QX38" s="187" t="s">
        <v>349</v>
      </c>
      <c r="QY38" s="187" t="s">
        <v>349</v>
      </c>
      <c r="QZ38" s="187" t="s">
        <v>399</v>
      </c>
      <c r="RA38" s="187" t="s">
        <v>399</v>
      </c>
      <c r="RB38" s="187" t="s">
        <v>399</v>
      </c>
      <c r="RC38" s="187" t="s">
        <v>399</v>
      </c>
      <c r="RD38" s="187" t="s">
        <v>399</v>
      </c>
      <c r="RE38" s="187" t="s">
        <v>399</v>
      </c>
      <c r="RF38" s="187" t="s">
        <v>399</v>
      </c>
      <c r="RG38" s="187" t="s">
        <v>399</v>
      </c>
      <c r="RH38" s="187" t="s">
        <v>399</v>
      </c>
      <c r="RI38" s="187" t="s">
        <v>399</v>
      </c>
      <c r="RJ38" s="187" t="s">
        <v>399</v>
      </c>
      <c r="RK38" s="187" t="s">
        <v>349</v>
      </c>
      <c r="RL38" s="187" t="s">
        <v>349</v>
      </c>
      <c r="RM38" s="187" t="s">
        <v>349</v>
      </c>
      <c r="RN38" s="187" t="s">
        <v>349</v>
      </c>
      <c r="RO38" s="187" t="s">
        <v>349</v>
      </c>
      <c r="RP38" s="187" t="s">
        <v>349</v>
      </c>
      <c r="RQ38" s="187" t="s">
        <v>349</v>
      </c>
      <c r="RR38" s="187" t="s">
        <v>394</v>
      </c>
      <c r="RS38" s="187" t="s">
        <v>394</v>
      </c>
      <c r="RT38" s="187" t="s">
        <v>461</v>
      </c>
      <c r="RU38" s="187" t="s">
        <v>419</v>
      </c>
      <c r="RV38" s="187" t="s">
        <v>419</v>
      </c>
      <c r="RW38" s="187" t="s">
        <v>419</v>
      </c>
      <c r="RX38" s="187" t="s">
        <v>464</v>
      </c>
      <c r="RY38" s="187" t="s">
        <v>466</v>
      </c>
      <c r="RZ38" s="187" t="s">
        <v>411</v>
      </c>
      <c r="SA38" s="187" t="s">
        <v>466</v>
      </c>
      <c r="SB38" s="187" t="s">
        <v>349</v>
      </c>
      <c r="SC38" s="187" t="s">
        <v>349</v>
      </c>
      <c r="SD38" s="187" t="s">
        <v>349</v>
      </c>
      <c r="SE38" s="187" t="s">
        <v>349</v>
      </c>
      <c r="SF38" s="187" t="s">
        <v>349</v>
      </c>
      <c r="SG38" s="187" t="s">
        <v>467</v>
      </c>
      <c r="SH38" s="187" t="s">
        <v>467</v>
      </c>
      <c r="SI38" s="187" t="s">
        <v>467</v>
      </c>
      <c r="SJ38" s="187" t="s">
        <v>467</v>
      </c>
      <c r="SK38" s="187" t="s">
        <v>469</v>
      </c>
      <c r="SL38" s="187" t="s">
        <v>470</v>
      </c>
      <c r="SM38" s="187" t="s">
        <v>439</v>
      </c>
      <c r="SN38" s="187" t="s">
        <v>411</v>
      </c>
      <c r="SO38" s="187" t="s">
        <v>411</v>
      </c>
      <c r="SP38" s="187" t="s">
        <v>411</v>
      </c>
      <c r="SQ38" s="187" t="s">
        <v>411</v>
      </c>
      <c r="SR38" s="187" t="s">
        <v>411</v>
      </c>
      <c r="SS38" s="187" t="s">
        <v>411</v>
      </c>
      <c r="ST38" s="187" t="s">
        <v>411</v>
      </c>
      <c r="SU38" s="187" t="s">
        <v>411</v>
      </c>
      <c r="SV38" s="187" t="s">
        <v>411</v>
      </c>
      <c r="SW38" s="187" t="s">
        <v>411</v>
      </c>
      <c r="SX38" s="187" t="s">
        <v>471</v>
      </c>
      <c r="SY38" s="187" t="s">
        <v>471</v>
      </c>
      <c r="SZ38" s="187" t="s">
        <v>472</v>
      </c>
      <c r="TA38" s="187" t="s">
        <v>349</v>
      </c>
      <c r="TB38" s="187" t="s">
        <v>346</v>
      </c>
      <c r="TC38" s="187" t="s">
        <v>473</v>
      </c>
      <c r="TD38" s="187" t="s">
        <v>474</v>
      </c>
      <c r="TE38" s="187" t="s">
        <v>349</v>
      </c>
      <c r="TF38" s="187" t="s">
        <v>476</v>
      </c>
      <c r="TG38" s="187" t="s">
        <v>477</v>
      </c>
      <c r="TH38" s="187" t="s">
        <v>477</v>
      </c>
      <c r="TI38" s="187" t="s">
        <v>355</v>
      </c>
      <c r="TJ38" s="187" t="s">
        <v>479</v>
      </c>
      <c r="TK38" s="187" t="s">
        <v>355</v>
      </c>
      <c r="TL38" s="187" t="s">
        <v>481</v>
      </c>
      <c r="TM38" s="187" t="s">
        <v>481</v>
      </c>
      <c r="TN38" s="187" t="s">
        <v>444</v>
      </c>
      <c r="TO38" s="187" t="s">
        <v>482</v>
      </c>
      <c r="TP38" s="187" t="s">
        <v>482</v>
      </c>
      <c r="TQ38" s="187" t="s">
        <v>482</v>
      </c>
      <c r="TR38" s="187" t="s">
        <v>482</v>
      </c>
      <c r="TS38" s="187" t="s">
        <v>349</v>
      </c>
      <c r="TT38" s="187" t="s">
        <v>349</v>
      </c>
      <c r="TU38" s="187" t="s">
        <v>349</v>
      </c>
      <c r="TV38" s="187" t="s">
        <v>483</v>
      </c>
      <c r="TW38" s="187" t="s">
        <v>443</v>
      </c>
      <c r="TX38" s="187" t="s">
        <v>443</v>
      </c>
      <c r="TY38" s="187" t="s">
        <v>443</v>
      </c>
      <c r="TZ38" s="187" t="s">
        <v>484</v>
      </c>
      <c r="UA38" s="187" t="s">
        <v>485</v>
      </c>
      <c r="UB38" s="187" t="s">
        <v>485</v>
      </c>
      <c r="UC38" s="187" t="s">
        <v>349</v>
      </c>
      <c r="UD38" s="187" t="s">
        <v>373</v>
      </c>
      <c r="UE38" s="187" t="s">
        <v>486</v>
      </c>
      <c r="UF38" s="187" t="s">
        <v>487</v>
      </c>
      <c r="UG38" s="187" t="s">
        <v>488</v>
      </c>
      <c r="UH38" s="187" t="s">
        <v>349</v>
      </c>
      <c r="UI38" s="187" t="s">
        <v>489</v>
      </c>
      <c r="UJ38" s="187" t="s">
        <v>490</v>
      </c>
      <c r="UK38" s="187" t="s">
        <v>491</v>
      </c>
      <c r="UL38" s="187" t="s">
        <v>455</v>
      </c>
      <c r="UM38" s="187" t="s">
        <v>349</v>
      </c>
      <c r="UN38" s="187" t="s">
        <v>466</v>
      </c>
      <c r="UO38" s="187" t="s">
        <v>466</v>
      </c>
      <c r="UP38" s="187" t="s">
        <v>491</v>
      </c>
      <c r="UQ38" s="187" t="s">
        <v>491</v>
      </c>
      <c r="UR38" s="187" t="s">
        <v>491</v>
      </c>
      <c r="US38" s="187" t="s">
        <v>492</v>
      </c>
      <c r="UT38" s="187" t="s">
        <v>493</v>
      </c>
      <c r="UU38" s="187" t="s">
        <v>494</v>
      </c>
      <c r="UV38" s="187" t="s">
        <v>494</v>
      </c>
      <c r="UW38" s="187" t="s">
        <v>495</v>
      </c>
      <c r="UX38" s="187" t="s">
        <v>495</v>
      </c>
      <c r="UY38" s="187" t="s">
        <v>355</v>
      </c>
      <c r="UZ38" s="187" t="s">
        <v>497</v>
      </c>
      <c r="VA38" s="187" t="s">
        <v>498</v>
      </c>
      <c r="VB38" s="187" t="s">
        <v>498</v>
      </c>
      <c r="VC38" s="187" t="s">
        <v>496</v>
      </c>
      <c r="VD38" s="187" t="s">
        <v>496</v>
      </c>
      <c r="VE38" s="187" t="s">
        <v>499</v>
      </c>
      <c r="VF38" s="187" t="s">
        <v>384</v>
      </c>
      <c r="VG38" s="187" t="s">
        <v>429</v>
      </c>
      <c r="VH38" s="187" t="s">
        <v>429</v>
      </c>
      <c r="VI38" s="187" t="s">
        <v>401</v>
      </c>
      <c r="VJ38" s="187" t="s">
        <v>500</v>
      </c>
      <c r="VK38" s="187" t="s">
        <v>355</v>
      </c>
      <c r="VL38" s="187" t="s">
        <v>501</v>
      </c>
      <c r="VM38" s="187" t="s">
        <v>501</v>
      </c>
      <c r="VN38" s="187" t="s">
        <v>429</v>
      </c>
      <c r="VO38" s="187" t="s">
        <v>349</v>
      </c>
      <c r="VP38" s="187" t="s">
        <v>453</v>
      </c>
      <c r="VQ38" s="187" t="s">
        <v>349</v>
      </c>
      <c r="VR38" s="187" t="s">
        <v>503</v>
      </c>
      <c r="VS38" s="187" t="s">
        <v>503</v>
      </c>
      <c r="VT38" s="187" t="s">
        <v>349</v>
      </c>
      <c r="VU38" s="187" t="s">
        <v>453</v>
      </c>
      <c r="VV38" s="187" t="s">
        <v>453</v>
      </c>
      <c r="VW38" s="187" t="s">
        <v>453</v>
      </c>
      <c r="VX38" s="187" t="s">
        <v>453</v>
      </c>
      <c r="VY38" s="187" t="s">
        <v>464</v>
      </c>
      <c r="VZ38" s="187" t="s">
        <v>464</v>
      </c>
      <c r="WA38" s="187" t="s">
        <v>464</v>
      </c>
      <c r="WB38" s="187" t="s">
        <v>464</v>
      </c>
      <c r="WC38" s="187" t="s">
        <v>401</v>
      </c>
      <c r="WD38" s="187" t="s">
        <v>401</v>
      </c>
      <c r="WE38" s="187" t="s">
        <v>349</v>
      </c>
      <c r="WF38" s="187" t="s">
        <v>352</v>
      </c>
      <c r="WG38" s="187" t="s">
        <v>504</v>
      </c>
      <c r="WH38" s="187" t="s">
        <v>362</v>
      </c>
      <c r="WI38" s="187" t="s">
        <v>505</v>
      </c>
      <c r="WJ38" s="187" t="s">
        <v>505</v>
      </c>
      <c r="WK38" s="187" t="s">
        <v>505</v>
      </c>
      <c r="WL38" s="187" t="s">
        <v>506</v>
      </c>
      <c r="WM38" s="187" t="s">
        <v>506</v>
      </c>
      <c r="WN38" s="187" t="s">
        <v>507</v>
      </c>
      <c r="WO38" s="187" t="s">
        <v>377</v>
      </c>
      <c r="WP38" s="187" t="s">
        <v>463</v>
      </c>
      <c r="WQ38" s="187" t="s">
        <v>463</v>
      </c>
      <c r="WR38" s="187" t="s">
        <v>463</v>
      </c>
      <c r="WS38" s="187" t="s">
        <v>416</v>
      </c>
      <c r="WT38" s="187" t="s">
        <v>349</v>
      </c>
      <c r="WU38" s="187" t="s">
        <v>349</v>
      </c>
      <c r="WV38" s="187" t="s">
        <v>506</v>
      </c>
      <c r="WW38" s="187" t="s">
        <v>506</v>
      </c>
      <c r="WX38" s="187" t="s">
        <v>506</v>
      </c>
      <c r="WY38" s="187" t="s">
        <v>506</v>
      </c>
      <c r="WZ38" s="187" t="s">
        <v>506</v>
      </c>
      <c r="XA38" s="187" t="s">
        <v>506</v>
      </c>
      <c r="XB38" s="187" t="s">
        <v>508</v>
      </c>
      <c r="XC38" s="187" t="s">
        <v>430</v>
      </c>
      <c r="XD38" s="187" t="s">
        <v>506</v>
      </c>
      <c r="XE38" s="187" t="s">
        <v>468</v>
      </c>
      <c r="XF38" s="187" t="s">
        <v>423</v>
      </c>
      <c r="XG38" s="187" t="s">
        <v>349</v>
      </c>
      <c r="XH38" s="187" t="s">
        <v>469</v>
      </c>
      <c r="XI38" s="187" t="s">
        <v>509</v>
      </c>
      <c r="XJ38" s="187" t="s">
        <v>510</v>
      </c>
      <c r="XK38" s="187" t="s">
        <v>510</v>
      </c>
      <c r="XL38" s="187" t="s">
        <v>510</v>
      </c>
      <c r="XM38" s="187" t="s">
        <v>511</v>
      </c>
      <c r="ZL38" s="182" t="str">
        <f t="shared" si="1"/>
        <v>BIRMINGHAM -PARIS</v>
      </c>
      <c r="ZM38" s="183" t="s">
        <v>531</v>
      </c>
      <c r="ZN38" s="182" t="s">
        <v>526</v>
      </c>
      <c r="ZO38" s="182">
        <v>501</v>
      </c>
      <c r="ZP38" s="198">
        <v>157.31399999999999</v>
      </c>
      <c r="ZQ38" s="185"/>
      <c r="ZR38" s="185"/>
      <c r="ZS38" s="185"/>
      <c r="ZT38" s="185"/>
    </row>
    <row r="39" spans="1:696" s="181" customFormat="1" ht="28.8">
      <c r="A39" s="319">
        <f>AVERAGE(F39:ZC39)</f>
        <v>2650.9446202531644</v>
      </c>
      <c r="B39" s="175">
        <f>COUNT(F39:ZC39)</f>
        <v>632</v>
      </c>
      <c r="C39" s="318">
        <f>F41/B39</f>
        <v>0.62460764715189898</v>
      </c>
      <c r="D39" s="741"/>
      <c r="E39" s="189" t="s">
        <v>322</v>
      </c>
      <c r="F39" s="182">
        <v>211</v>
      </c>
      <c r="G39" s="182">
        <v>246</v>
      </c>
      <c r="H39" s="182">
        <v>276</v>
      </c>
      <c r="I39" s="182">
        <v>276</v>
      </c>
      <c r="J39" s="182">
        <v>277</v>
      </c>
      <c r="K39" s="182">
        <v>298</v>
      </c>
      <c r="L39" s="182">
        <v>298</v>
      </c>
      <c r="M39" s="182">
        <v>298</v>
      </c>
      <c r="N39" s="182">
        <v>298</v>
      </c>
      <c r="O39" s="182">
        <v>298</v>
      </c>
      <c r="P39" s="182">
        <v>298</v>
      </c>
      <c r="Q39" s="182">
        <v>298</v>
      </c>
      <c r="R39" s="182">
        <v>298</v>
      </c>
      <c r="S39" s="182">
        <v>301</v>
      </c>
      <c r="T39" s="182">
        <v>301</v>
      </c>
      <c r="U39" s="182">
        <v>308</v>
      </c>
      <c r="V39" s="182">
        <v>308</v>
      </c>
      <c r="W39" s="182">
        <v>313</v>
      </c>
      <c r="X39" s="182">
        <v>335</v>
      </c>
      <c r="Y39" s="182">
        <v>336</v>
      </c>
      <c r="Z39" s="182">
        <v>339</v>
      </c>
      <c r="AA39" s="182">
        <v>340</v>
      </c>
      <c r="AB39" s="182">
        <v>340</v>
      </c>
      <c r="AC39" s="182">
        <v>340</v>
      </c>
      <c r="AD39" s="182">
        <v>340</v>
      </c>
      <c r="AE39" s="182">
        <v>340</v>
      </c>
      <c r="AF39" s="182">
        <v>340</v>
      </c>
      <c r="AG39" s="182">
        <v>340</v>
      </c>
      <c r="AH39" s="182">
        <v>340</v>
      </c>
      <c r="AI39" s="182">
        <v>343</v>
      </c>
      <c r="AJ39" s="182">
        <v>357</v>
      </c>
      <c r="AK39" s="182">
        <v>357</v>
      </c>
      <c r="AL39" s="182">
        <v>359</v>
      </c>
      <c r="AM39" s="182">
        <v>359</v>
      </c>
      <c r="AN39" s="182">
        <v>359</v>
      </c>
      <c r="AO39" s="182">
        <v>359</v>
      </c>
      <c r="AP39" s="182">
        <v>359</v>
      </c>
      <c r="AQ39" s="182">
        <v>359</v>
      </c>
      <c r="AR39" s="182">
        <v>359</v>
      </c>
      <c r="AS39" s="182">
        <v>359</v>
      </c>
      <c r="AT39" s="182">
        <v>359</v>
      </c>
      <c r="AU39" s="182">
        <v>359</v>
      </c>
      <c r="AV39" s="182">
        <v>359</v>
      </c>
      <c r="AW39" s="182">
        <v>359</v>
      </c>
      <c r="AX39" s="182">
        <v>359</v>
      </c>
      <c r="AY39" s="182">
        <v>359</v>
      </c>
      <c r="AZ39" s="182">
        <v>359</v>
      </c>
      <c r="BA39" s="182">
        <v>359</v>
      </c>
      <c r="BB39" s="182">
        <v>359</v>
      </c>
      <c r="BC39" s="182">
        <v>359</v>
      </c>
      <c r="BD39" s="182">
        <v>359</v>
      </c>
      <c r="BE39" s="182">
        <v>384</v>
      </c>
      <c r="BF39" s="182">
        <v>384</v>
      </c>
      <c r="BG39" s="182">
        <v>391</v>
      </c>
      <c r="BH39" s="182">
        <v>392</v>
      </c>
      <c r="BI39" s="182">
        <v>392</v>
      </c>
      <c r="BJ39" s="182">
        <v>392</v>
      </c>
      <c r="BK39" s="182">
        <v>414</v>
      </c>
      <c r="BL39" s="182">
        <v>435</v>
      </c>
      <c r="BM39" s="182">
        <v>435</v>
      </c>
      <c r="BN39" s="182">
        <v>435</v>
      </c>
      <c r="BO39" s="182">
        <v>435</v>
      </c>
      <c r="BP39" s="182">
        <v>435</v>
      </c>
      <c r="BQ39" s="182">
        <v>435</v>
      </c>
      <c r="BR39" s="182">
        <v>435</v>
      </c>
      <c r="BS39" s="182">
        <v>435</v>
      </c>
      <c r="BT39" s="182">
        <v>435</v>
      </c>
      <c r="BU39" s="182">
        <v>435</v>
      </c>
      <c r="BV39" s="182">
        <v>435</v>
      </c>
      <c r="BW39" s="182">
        <v>435</v>
      </c>
      <c r="BX39" s="182">
        <v>435</v>
      </c>
      <c r="BY39" s="182">
        <v>435</v>
      </c>
      <c r="BZ39" s="182">
        <v>435</v>
      </c>
      <c r="CA39" s="182">
        <v>435</v>
      </c>
      <c r="CB39" s="182">
        <v>435</v>
      </c>
      <c r="CC39" s="182">
        <v>435</v>
      </c>
      <c r="CD39" s="182">
        <v>435</v>
      </c>
      <c r="CE39" s="182">
        <v>435</v>
      </c>
      <c r="CF39" s="182">
        <v>435</v>
      </c>
      <c r="CG39" s="182">
        <v>442</v>
      </c>
      <c r="CH39" s="182">
        <v>442</v>
      </c>
      <c r="CI39" s="182">
        <v>462</v>
      </c>
      <c r="CJ39" s="182">
        <v>464</v>
      </c>
      <c r="CK39" s="182">
        <v>469</v>
      </c>
      <c r="CL39" s="182">
        <v>469</v>
      </c>
      <c r="CM39" s="182">
        <v>500</v>
      </c>
      <c r="CN39" s="182">
        <v>500</v>
      </c>
      <c r="CO39" s="182">
        <v>500</v>
      </c>
      <c r="CP39" s="182">
        <v>500</v>
      </c>
      <c r="CQ39" s="182">
        <v>515</v>
      </c>
      <c r="CR39" s="182">
        <v>515</v>
      </c>
      <c r="CS39" s="182">
        <v>515</v>
      </c>
      <c r="CT39" s="182">
        <v>515</v>
      </c>
      <c r="CU39" s="182">
        <v>515</v>
      </c>
      <c r="CV39" s="182">
        <v>515</v>
      </c>
      <c r="CW39" s="182">
        <v>515</v>
      </c>
      <c r="CX39" s="182">
        <v>515</v>
      </c>
      <c r="CY39" s="182">
        <v>515</v>
      </c>
      <c r="CZ39" s="182">
        <v>515</v>
      </c>
      <c r="DA39" s="182">
        <v>515</v>
      </c>
      <c r="DB39" s="182">
        <v>515</v>
      </c>
      <c r="DC39" s="182">
        <v>515</v>
      </c>
      <c r="DD39" s="182">
        <v>515</v>
      </c>
      <c r="DE39" s="182">
        <v>515</v>
      </c>
      <c r="DF39" s="182">
        <v>515</v>
      </c>
      <c r="DG39" s="182">
        <v>515</v>
      </c>
      <c r="DH39" s="182">
        <v>515</v>
      </c>
      <c r="DI39" s="182">
        <v>515</v>
      </c>
      <c r="DJ39" s="182">
        <v>515</v>
      </c>
      <c r="DK39" s="182">
        <v>515</v>
      </c>
      <c r="DL39" s="182">
        <v>515</v>
      </c>
      <c r="DM39" s="182">
        <v>529</v>
      </c>
      <c r="DN39" s="182">
        <v>529</v>
      </c>
      <c r="DO39" s="182">
        <v>529</v>
      </c>
      <c r="DP39" s="182">
        <v>529</v>
      </c>
      <c r="DQ39" s="182">
        <v>531</v>
      </c>
      <c r="DR39" s="182">
        <v>531</v>
      </c>
      <c r="DS39" s="182">
        <v>531</v>
      </c>
      <c r="DT39" s="182">
        <v>531</v>
      </c>
      <c r="DU39" s="182">
        <v>531</v>
      </c>
      <c r="DV39" s="182">
        <v>531</v>
      </c>
      <c r="DW39" s="182">
        <v>531</v>
      </c>
      <c r="DX39" s="182">
        <v>531</v>
      </c>
      <c r="DY39" s="182">
        <v>531</v>
      </c>
      <c r="DZ39" s="182">
        <v>542</v>
      </c>
      <c r="EA39" s="182">
        <v>545</v>
      </c>
      <c r="EB39" s="182">
        <v>545</v>
      </c>
      <c r="EC39" s="182">
        <v>545</v>
      </c>
      <c r="ED39" s="182">
        <v>545</v>
      </c>
      <c r="EE39" s="182">
        <v>545</v>
      </c>
      <c r="EF39" s="182">
        <v>545</v>
      </c>
      <c r="EG39" s="182">
        <v>545</v>
      </c>
      <c r="EH39" s="182">
        <v>557</v>
      </c>
      <c r="EI39" s="182">
        <v>557</v>
      </c>
      <c r="EJ39" s="182">
        <v>557</v>
      </c>
      <c r="EK39" s="182">
        <v>557</v>
      </c>
      <c r="EL39" s="182">
        <v>559</v>
      </c>
      <c r="EM39" s="182">
        <v>559</v>
      </c>
      <c r="EN39" s="182">
        <v>559</v>
      </c>
      <c r="EO39" s="182">
        <v>559</v>
      </c>
      <c r="EP39" s="182">
        <v>559</v>
      </c>
      <c r="EQ39" s="182">
        <v>559</v>
      </c>
      <c r="ER39" s="182">
        <v>559</v>
      </c>
      <c r="ES39" s="182">
        <v>562</v>
      </c>
      <c r="ET39" s="182">
        <v>562</v>
      </c>
      <c r="EU39" s="182">
        <v>562</v>
      </c>
      <c r="EV39" s="182">
        <v>562</v>
      </c>
      <c r="EW39" s="182">
        <v>562</v>
      </c>
      <c r="EX39" s="182">
        <v>562</v>
      </c>
      <c r="EY39" s="182">
        <v>562</v>
      </c>
      <c r="EZ39" s="182">
        <v>562</v>
      </c>
      <c r="FA39" s="182">
        <v>565</v>
      </c>
      <c r="FB39" s="182">
        <v>565</v>
      </c>
      <c r="FC39" s="182">
        <v>566</v>
      </c>
      <c r="FD39" s="182">
        <v>566</v>
      </c>
      <c r="FE39" s="182">
        <v>567</v>
      </c>
      <c r="FF39" s="182">
        <v>567</v>
      </c>
      <c r="FG39" s="182">
        <v>567</v>
      </c>
      <c r="FH39" s="182">
        <v>575</v>
      </c>
      <c r="FI39" s="182">
        <v>575</v>
      </c>
      <c r="FJ39" s="182">
        <v>575</v>
      </c>
      <c r="FK39" s="182">
        <v>575</v>
      </c>
      <c r="FL39" s="182">
        <v>575</v>
      </c>
      <c r="FM39" s="182">
        <v>575</v>
      </c>
      <c r="FN39" s="182">
        <v>575</v>
      </c>
      <c r="FO39" s="182">
        <v>575</v>
      </c>
      <c r="FP39" s="182">
        <v>575</v>
      </c>
      <c r="FQ39" s="182">
        <v>575</v>
      </c>
      <c r="FR39" s="182">
        <v>575</v>
      </c>
      <c r="FS39" s="182">
        <v>575</v>
      </c>
      <c r="FT39" s="182">
        <v>575</v>
      </c>
      <c r="FU39" s="182">
        <v>575</v>
      </c>
      <c r="FV39" s="182">
        <v>584</v>
      </c>
      <c r="FW39" s="182">
        <v>588</v>
      </c>
      <c r="FX39" s="182">
        <v>612</v>
      </c>
      <c r="FY39" s="182">
        <v>612</v>
      </c>
      <c r="FZ39" s="182">
        <v>624</v>
      </c>
      <c r="GA39" s="182">
        <v>624</v>
      </c>
      <c r="GB39" s="182">
        <v>624</v>
      </c>
      <c r="GC39" s="182">
        <v>624</v>
      </c>
      <c r="GD39" s="182">
        <v>624</v>
      </c>
      <c r="GE39" s="182">
        <v>624</v>
      </c>
      <c r="GF39" s="182">
        <v>624</v>
      </c>
      <c r="GG39" s="182">
        <v>634</v>
      </c>
      <c r="GH39" s="182">
        <v>644</v>
      </c>
      <c r="GI39" s="182">
        <v>644</v>
      </c>
      <c r="GJ39" s="182">
        <v>653</v>
      </c>
      <c r="GK39" s="182">
        <v>653</v>
      </c>
      <c r="GL39" s="182">
        <v>653</v>
      </c>
      <c r="GM39" s="182">
        <v>653</v>
      </c>
      <c r="GN39" s="182">
        <v>653</v>
      </c>
      <c r="GO39" s="182">
        <v>659</v>
      </c>
      <c r="GP39" s="182">
        <v>659</v>
      </c>
      <c r="GQ39" s="182">
        <v>675</v>
      </c>
      <c r="GR39" s="182">
        <v>675</v>
      </c>
      <c r="GS39" s="182">
        <v>676</v>
      </c>
      <c r="GT39" s="182">
        <v>676</v>
      </c>
      <c r="GU39" s="182">
        <v>676</v>
      </c>
      <c r="GV39" s="182">
        <v>681</v>
      </c>
      <c r="GW39" s="182">
        <v>681</v>
      </c>
      <c r="GX39" s="182">
        <v>681</v>
      </c>
      <c r="GY39" s="182">
        <v>681</v>
      </c>
      <c r="GZ39" s="182">
        <v>686</v>
      </c>
      <c r="HA39" s="182">
        <v>688</v>
      </c>
      <c r="HB39" s="182">
        <v>694</v>
      </c>
      <c r="HC39" s="182">
        <v>694</v>
      </c>
      <c r="HD39" s="182">
        <v>695</v>
      </c>
      <c r="HE39" s="182">
        <v>709</v>
      </c>
      <c r="HF39" s="182">
        <v>734</v>
      </c>
      <c r="HG39" s="182">
        <v>735</v>
      </c>
      <c r="HH39" s="182">
        <v>735</v>
      </c>
      <c r="HI39" s="182">
        <v>735</v>
      </c>
      <c r="HJ39" s="182">
        <v>735</v>
      </c>
      <c r="HK39" s="182">
        <v>735</v>
      </c>
      <c r="HL39" s="182">
        <v>735</v>
      </c>
      <c r="HM39" s="182">
        <v>735</v>
      </c>
      <c r="HN39" s="182">
        <v>735</v>
      </c>
      <c r="HO39" s="182">
        <v>735</v>
      </c>
      <c r="HP39" s="182">
        <v>735</v>
      </c>
      <c r="HQ39" s="182">
        <v>735</v>
      </c>
      <c r="HR39" s="182">
        <v>735</v>
      </c>
      <c r="HS39" s="182">
        <v>735</v>
      </c>
      <c r="HT39" s="182">
        <v>735</v>
      </c>
      <c r="HU39" s="182">
        <v>735</v>
      </c>
      <c r="HV39" s="182">
        <v>735</v>
      </c>
      <c r="HW39" s="182">
        <v>735</v>
      </c>
      <c r="HX39" s="182">
        <v>735</v>
      </c>
      <c r="HY39" s="182">
        <v>735</v>
      </c>
      <c r="HZ39" s="182">
        <v>735</v>
      </c>
      <c r="IA39" s="182">
        <v>735</v>
      </c>
      <c r="IB39" s="182">
        <v>735</v>
      </c>
      <c r="IC39" s="182">
        <v>735</v>
      </c>
      <c r="ID39" s="182">
        <v>735</v>
      </c>
      <c r="IE39" s="182">
        <v>735</v>
      </c>
      <c r="IF39" s="182">
        <v>735</v>
      </c>
      <c r="IG39" s="182">
        <v>735</v>
      </c>
      <c r="IH39" s="182">
        <v>735</v>
      </c>
      <c r="II39" s="182">
        <v>735</v>
      </c>
      <c r="IJ39" s="182">
        <v>735</v>
      </c>
      <c r="IK39" s="182">
        <v>735</v>
      </c>
      <c r="IL39" s="182">
        <v>735</v>
      </c>
      <c r="IM39" s="182">
        <v>735</v>
      </c>
      <c r="IN39" s="182">
        <v>735</v>
      </c>
      <c r="IO39" s="182">
        <v>735</v>
      </c>
      <c r="IP39" s="182">
        <v>735</v>
      </c>
      <c r="IQ39" s="182">
        <v>735</v>
      </c>
      <c r="IR39" s="182">
        <v>745</v>
      </c>
      <c r="IS39" s="182">
        <v>745</v>
      </c>
      <c r="IT39" s="182">
        <v>748</v>
      </c>
      <c r="IU39" s="182">
        <v>749</v>
      </c>
      <c r="IV39" s="182">
        <v>749</v>
      </c>
      <c r="IW39" s="182">
        <v>749</v>
      </c>
      <c r="IX39" s="182">
        <v>749</v>
      </c>
      <c r="IY39" s="182">
        <v>749</v>
      </c>
      <c r="IZ39" s="182">
        <v>749</v>
      </c>
      <c r="JA39" s="182">
        <v>749</v>
      </c>
      <c r="JB39" s="182">
        <v>763</v>
      </c>
      <c r="JC39" s="182">
        <v>763</v>
      </c>
      <c r="JD39" s="182">
        <v>763</v>
      </c>
      <c r="JE39" s="182">
        <v>763</v>
      </c>
      <c r="JF39" s="182">
        <v>763</v>
      </c>
      <c r="JG39" s="182">
        <v>763</v>
      </c>
      <c r="JH39" s="182">
        <v>767</v>
      </c>
      <c r="JI39" s="182">
        <v>791</v>
      </c>
      <c r="JJ39" s="182">
        <v>806</v>
      </c>
      <c r="JK39" s="182">
        <v>818</v>
      </c>
      <c r="JL39" s="182">
        <v>818</v>
      </c>
      <c r="JM39" s="182">
        <v>818</v>
      </c>
      <c r="JN39" s="182">
        <v>825</v>
      </c>
      <c r="JO39" s="182">
        <v>826</v>
      </c>
      <c r="JP39" s="182">
        <v>860</v>
      </c>
      <c r="JQ39" s="182">
        <v>860</v>
      </c>
      <c r="JR39" s="182">
        <v>860</v>
      </c>
      <c r="JS39" s="182">
        <v>860</v>
      </c>
      <c r="JT39" s="182">
        <v>860</v>
      </c>
      <c r="JU39" s="182">
        <v>860</v>
      </c>
      <c r="JV39" s="182">
        <v>860</v>
      </c>
      <c r="JW39" s="182">
        <v>881</v>
      </c>
      <c r="JX39" s="182">
        <v>881</v>
      </c>
      <c r="JY39" s="182">
        <v>881</v>
      </c>
      <c r="JZ39" s="182">
        <v>881</v>
      </c>
      <c r="KA39" s="182">
        <v>882</v>
      </c>
      <c r="KB39" s="182">
        <v>882</v>
      </c>
      <c r="KC39" s="182">
        <v>912</v>
      </c>
      <c r="KD39" s="182">
        <v>912</v>
      </c>
      <c r="KE39" s="182">
        <v>916</v>
      </c>
      <c r="KF39" s="182">
        <v>917</v>
      </c>
      <c r="KG39" s="182">
        <v>936</v>
      </c>
      <c r="KH39" s="182">
        <v>937</v>
      </c>
      <c r="KI39" s="182">
        <v>945</v>
      </c>
      <c r="KJ39" s="182">
        <v>945</v>
      </c>
      <c r="KK39" s="182">
        <v>945</v>
      </c>
      <c r="KL39" s="182">
        <v>965</v>
      </c>
      <c r="KM39" s="182">
        <v>976</v>
      </c>
      <c r="KN39" s="182">
        <v>976</v>
      </c>
      <c r="KO39" s="182">
        <v>976</v>
      </c>
      <c r="KP39" s="182">
        <v>976</v>
      </c>
      <c r="KQ39" s="182">
        <v>976</v>
      </c>
      <c r="KR39" s="182">
        <v>976</v>
      </c>
      <c r="KS39" s="182">
        <v>1009</v>
      </c>
      <c r="KT39" s="182">
        <v>1014</v>
      </c>
      <c r="KU39" s="182">
        <v>1026</v>
      </c>
      <c r="KV39" s="182">
        <v>1055</v>
      </c>
      <c r="KW39" s="182">
        <v>1077</v>
      </c>
      <c r="KX39" s="182">
        <v>1088</v>
      </c>
      <c r="KY39" s="182">
        <v>1088</v>
      </c>
      <c r="KZ39" s="182">
        <v>1088</v>
      </c>
      <c r="LA39" s="182">
        <v>1088</v>
      </c>
      <c r="LB39" s="182">
        <v>1088</v>
      </c>
      <c r="LC39" s="182">
        <v>1088</v>
      </c>
      <c r="LD39" s="182">
        <v>1100</v>
      </c>
      <c r="LE39" s="182">
        <v>1100</v>
      </c>
      <c r="LF39" s="182">
        <v>1159</v>
      </c>
      <c r="LG39" s="182">
        <v>1159</v>
      </c>
      <c r="LH39" s="182">
        <v>1159</v>
      </c>
      <c r="LI39" s="182">
        <v>1159</v>
      </c>
      <c r="LJ39" s="182">
        <v>1159</v>
      </c>
      <c r="LK39" s="182">
        <v>1159</v>
      </c>
      <c r="LL39" s="182">
        <v>1159</v>
      </c>
      <c r="LM39" s="182">
        <v>1194</v>
      </c>
      <c r="LN39" s="182">
        <v>1194</v>
      </c>
      <c r="LO39" s="182">
        <v>1194</v>
      </c>
      <c r="LP39" s="182">
        <v>1194</v>
      </c>
      <c r="LQ39" s="182">
        <v>1194</v>
      </c>
      <c r="LR39" s="182">
        <v>1198</v>
      </c>
      <c r="LS39" s="182">
        <v>1198</v>
      </c>
      <c r="LT39" s="182">
        <v>1198</v>
      </c>
      <c r="LU39" s="182">
        <v>1198</v>
      </c>
      <c r="LV39" s="182">
        <v>1208</v>
      </c>
      <c r="LW39" s="182">
        <v>1220</v>
      </c>
      <c r="LX39" s="182">
        <v>1220</v>
      </c>
      <c r="LY39" s="182">
        <v>1220</v>
      </c>
      <c r="LZ39" s="182">
        <v>1220</v>
      </c>
      <c r="MA39" s="182">
        <v>1248</v>
      </c>
      <c r="MB39" s="182">
        <v>1248</v>
      </c>
      <c r="MC39" s="182">
        <v>1270</v>
      </c>
      <c r="MD39" s="182">
        <v>1270</v>
      </c>
      <c r="ME39" s="182">
        <v>1292</v>
      </c>
      <c r="MF39" s="182">
        <v>1292</v>
      </c>
      <c r="MG39" s="182">
        <v>1292</v>
      </c>
      <c r="MH39" s="182">
        <v>1362</v>
      </c>
      <c r="MI39" s="182">
        <v>1362</v>
      </c>
      <c r="MJ39" s="182">
        <v>1362</v>
      </c>
      <c r="MK39" s="182">
        <v>1362</v>
      </c>
      <c r="ML39" s="182">
        <v>1368</v>
      </c>
      <c r="MM39" s="182">
        <v>1378</v>
      </c>
      <c r="MN39" s="182">
        <v>1378</v>
      </c>
      <c r="MO39" s="182">
        <v>1388</v>
      </c>
      <c r="MP39" s="182">
        <v>1388</v>
      </c>
      <c r="MQ39" s="182">
        <v>1415</v>
      </c>
      <c r="MR39" s="182">
        <v>1420</v>
      </c>
      <c r="MS39" s="182">
        <v>1457</v>
      </c>
      <c r="MT39" s="182">
        <v>1457</v>
      </c>
      <c r="MU39" s="182">
        <v>1457</v>
      </c>
      <c r="MV39" s="182">
        <v>1480</v>
      </c>
      <c r="MW39" s="182">
        <v>1482</v>
      </c>
      <c r="MX39" s="182">
        <v>1482</v>
      </c>
      <c r="MY39" s="182">
        <v>1493</v>
      </c>
      <c r="MZ39" s="182">
        <v>1507</v>
      </c>
      <c r="NA39" s="182">
        <v>1507</v>
      </c>
      <c r="NB39" s="182">
        <v>1507</v>
      </c>
      <c r="NC39" s="182">
        <v>1548</v>
      </c>
      <c r="ND39" s="182">
        <v>1548</v>
      </c>
      <c r="NE39" s="182">
        <v>1548</v>
      </c>
      <c r="NF39" s="182">
        <v>1548</v>
      </c>
      <c r="NG39" s="182">
        <v>1548</v>
      </c>
      <c r="NH39" s="182">
        <v>1548</v>
      </c>
      <c r="NI39" s="182">
        <v>1548</v>
      </c>
      <c r="NJ39" s="182">
        <v>1548</v>
      </c>
      <c r="NK39" s="182">
        <v>1548</v>
      </c>
      <c r="NL39" s="182">
        <v>1548</v>
      </c>
      <c r="NM39" s="182">
        <v>1548</v>
      </c>
      <c r="NN39" s="182">
        <v>1548</v>
      </c>
      <c r="NO39" s="182">
        <v>1548</v>
      </c>
      <c r="NP39" s="182">
        <v>1548</v>
      </c>
      <c r="NQ39" s="182">
        <v>1548</v>
      </c>
      <c r="NR39" s="182">
        <v>1548</v>
      </c>
      <c r="NS39" s="182">
        <v>1548</v>
      </c>
      <c r="NT39" s="182">
        <v>1548</v>
      </c>
      <c r="NU39" s="182">
        <v>1548</v>
      </c>
      <c r="NV39" s="182">
        <v>1548</v>
      </c>
      <c r="NW39" s="182">
        <v>1548</v>
      </c>
      <c r="NX39" s="182">
        <v>1548</v>
      </c>
      <c r="NY39" s="182">
        <v>1548</v>
      </c>
      <c r="NZ39" s="182">
        <v>1548</v>
      </c>
      <c r="OA39" s="182">
        <v>1548</v>
      </c>
      <c r="OB39" s="182">
        <v>1548</v>
      </c>
      <c r="OC39" s="182">
        <v>1548</v>
      </c>
      <c r="OD39" s="182">
        <v>1548</v>
      </c>
      <c r="OE39" s="182">
        <v>1548</v>
      </c>
      <c r="OF39" s="182">
        <v>1548</v>
      </c>
      <c r="OG39" s="182">
        <v>1548</v>
      </c>
      <c r="OH39" s="182">
        <v>1548</v>
      </c>
      <c r="OI39" s="182">
        <v>1560</v>
      </c>
      <c r="OJ39" s="182">
        <v>1560</v>
      </c>
      <c r="OK39" s="182">
        <v>1560</v>
      </c>
      <c r="OL39" s="182">
        <v>1560</v>
      </c>
      <c r="OM39" s="182">
        <v>1598</v>
      </c>
      <c r="ON39" s="182">
        <v>1609</v>
      </c>
      <c r="OO39" s="182">
        <v>1609</v>
      </c>
      <c r="OP39" s="182">
        <v>1615</v>
      </c>
      <c r="OQ39" s="182">
        <v>1638</v>
      </c>
      <c r="OR39" s="182">
        <v>1638</v>
      </c>
      <c r="OS39" s="182">
        <v>1638</v>
      </c>
      <c r="OT39" s="182">
        <v>1638</v>
      </c>
      <c r="OU39" s="182">
        <v>1638</v>
      </c>
      <c r="OV39" s="182">
        <v>1638</v>
      </c>
      <c r="OW39" s="182">
        <v>1638</v>
      </c>
      <c r="OX39" s="182">
        <v>1671</v>
      </c>
      <c r="OY39" s="182">
        <v>1671</v>
      </c>
      <c r="OZ39" s="182">
        <v>1671</v>
      </c>
      <c r="PA39" s="182">
        <v>1671</v>
      </c>
      <c r="PB39" s="182">
        <v>1671</v>
      </c>
      <c r="PC39" s="182">
        <v>1671</v>
      </c>
      <c r="PD39" s="182">
        <v>1671</v>
      </c>
      <c r="PE39" s="182">
        <v>1671</v>
      </c>
      <c r="PF39" s="182">
        <v>1731</v>
      </c>
      <c r="PG39" s="182">
        <v>1731</v>
      </c>
      <c r="PH39" s="182">
        <v>1748</v>
      </c>
      <c r="PI39" s="182">
        <v>1757</v>
      </c>
      <c r="PJ39" s="182">
        <v>1757</v>
      </c>
      <c r="PK39" s="182">
        <v>1757</v>
      </c>
      <c r="PL39" s="182">
        <v>1757</v>
      </c>
      <c r="PM39" s="182">
        <v>1816</v>
      </c>
      <c r="PN39" s="182">
        <v>1816</v>
      </c>
      <c r="PO39" s="182">
        <v>1854</v>
      </c>
      <c r="PP39" s="182">
        <v>1880</v>
      </c>
      <c r="PQ39" s="182">
        <v>1880</v>
      </c>
      <c r="PR39" s="182">
        <v>1880</v>
      </c>
      <c r="PS39" s="182">
        <v>1880</v>
      </c>
      <c r="PT39" s="182">
        <v>1880</v>
      </c>
      <c r="PU39" s="182">
        <v>1880</v>
      </c>
      <c r="PV39" s="182">
        <v>1880</v>
      </c>
      <c r="PW39" s="182">
        <v>1880</v>
      </c>
      <c r="PX39" s="182">
        <v>1880</v>
      </c>
      <c r="PY39" s="182">
        <v>1908</v>
      </c>
      <c r="PZ39" s="182">
        <v>1920</v>
      </c>
      <c r="QA39" s="182">
        <v>1934</v>
      </c>
      <c r="QB39" s="182">
        <v>1968</v>
      </c>
      <c r="QC39" s="182">
        <v>1979</v>
      </c>
      <c r="QD39" s="182">
        <v>1996</v>
      </c>
      <c r="QE39" s="182">
        <v>1996</v>
      </c>
      <c r="QF39" s="182">
        <v>2007</v>
      </c>
      <c r="QG39" s="182">
        <v>2011</v>
      </c>
      <c r="QH39" s="182">
        <v>2015</v>
      </c>
      <c r="QI39" s="182">
        <v>2062</v>
      </c>
      <c r="QJ39" s="182">
        <v>2062</v>
      </c>
      <c r="QK39" s="182">
        <v>2062</v>
      </c>
      <c r="QL39" s="182">
        <v>2076</v>
      </c>
      <c r="QM39" s="182">
        <v>2076</v>
      </c>
      <c r="QN39" s="182">
        <v>2076</v>
      </c>
      <c r="QO39" s="182">
        <v>2076</v>
      </c>
      <c r="QP39" s="182">
        <v>2076</v>
      </c>
      <c r="QQ39" s="182">
        <v>2076</v>
      </c>
      <c r="QR39" s="182">
        <v>2076</v>
      </c>
      <c r="QS39" s="182">
        <v>2076</v>
      </c>
      <c r="QT39" s="182">
        <v>2076</v>
      </c>
      <c r="QU39" s="182">
        <v>2076</v>
      </c>
      <c r="QV39" s="182">
        <v>2076</v>
      </c>
      <c r="QW39" s="182">
        <v>2076</v>
      </c>
      <c r="QX39" s="182">
        <v>2076</v>
      </c>
      <c r="QY39" s="182">
        <v>2076</v>
      </c>
      <c r="QZ39" s="182">
        <v>2098</v>
      </c>
      <c r="RA39" s="182">
        <v>2114</v>
      </c>
      <c r="RB39" s="182">
        <v>2114</v>
      </c>
      <c r="RC39" s="182">
        <v>2114</v>
      </c>
      <c r="RD39" s="182">
        <v>2114</v>
      </c>
      <c r="RE39" s="182">
        <v>2114</v>
      </c>
      <c r="RF39" s="182">
        <v>2114</v>
      </c>
      <c r="RG39" s="182">
        <v>2114</v>
      </c>
      <c r="RH39" s="182">
        <v>2114</v>
      </c>
      <c r="RI39" s="182">
        <v>2114</v>
      </c>
      <c r="RJ39" s="182">
        <v>2114</v>
      </c>
      <c r="RK39" s="182">
        <v>2114</v>
      </c>
      <c r="RL39" s="182">
        <v>2114</v>
      </c>
      <c r="RM39" s="182">
        <v>2114</v>
      </c>
      <c r="RN39" s="182">
        <v>2114</v>
      </c>
      <c r="RO39" s="182">
        <v>2114</v>
      </c>
      <c r="RP39" s="182">
        <v>2114</v>
      </c>
      <c r="RQ39" s="182">
        <v>2114</v>
      </c>
      <c r="RR39" s="182">
        <v>2300</v>
      </c>
      <c r="RS39" s="182">
        <v>2300</v>
      </c>
      <c r="RT39" s="182">
        <v>2392</v>
      </c>
      <c r="RU39" s="182">
        <v>2974</v>
      </c>
      <c r="RV39" s="182">
        <v>2974</v>
      </c>
      <c r="RW39" s="182">
        <v>2974</v>
      </c>
      <c r="RX39" s="182">
        <v>3258</v>
      </c>
      <c r="RY39" s="182">
        <v>3540</v>
      </c>
      <c r="RZ39" s="182">
        <v>3685</v>
      </c>
      <c r="SA39" s="182">
        <v>3685</v>
      </c>
      <c r="SB39" s="182">
        <v>3865</v>
      </c>
      <c r="SC39" s="182">
        <v>3865</v>
      </c>
      <c r="SD39" s="182">
        <v>3865</v>
      </c>
      <c r="SE39" s="182">
        <v>3865</v>
      </c>
      <c r="SF39" s="182">
        <v>3865</v>
      </c>
      <c r="SG39" s="182">
        <v>3865</v>
      </c>
      <c r="SH39" s="182">
        <v>3865</v>
      </c>
      <c r="SI39" s="182">
        <v>3865</v>
      </c>
      <c r="SJ39" s="182">
        <v>3865</v>
      </c>
      <c r="SK39" s="182">
        <v>4135</v>
      </c>
      <c r="SL39" s="182">
        <v>5211</v>
      </c>
      <c r="SM39" s="182">
        <v>5596</v>
      </c>
      <c r="SN39" s="182">
        <v>5836</v>
      </c>
      <c r="SO39" s="182">
        <v>5836</v>
      </c>
      <c r="SP39" s="182">
        <v>5836</v>
      </c>
      <c r="SQ39" s="182">
        <v>5836</v>
      </c>
      <c r="SR39" s="182">
        <v>5836</v>
      </c>
      <c r="SS39" s="182">
        <v>5836</v>
      </c>
      <c r="ST39" s="182">
        <v>5836</v>
      </c>
      <c r="SU39" s="182">
        <v>5836</v>
      </c>
      <c r="SV39" s="182">
        <v>5836</v>
      </c>
      <c r="SW39" s="182">
        <v>5836</v>
      </c>
      <c r="SX39" s="182">
        <v>5842</v>
      </c>
      <c r="SY39" s="182">
        <v>5842</v>
      </c>
      <c r="SZ39" s="182">
        <v>6112</v>
      </c>
      <c r="TA39" s="182">
        <v>6276</v>
      </c>
      <c r="TB39" s="182">
        <v>6276</v>
      </c>
      <c r="TC39" s="182">
        <v>6307</v>
      </c>
      <c r="TD39" s="182">
        <v>6333</v>
      </c>
      <c r="TE39" s="182">
        <v>6461</v>
      </c>
      <c r="TF39" s="182">
        <v>6476</v>
      </c>
      <c r="TG39" s="182">
        <v>6627</v>
      </c>
      <c r="TH39" s="182">
        <v>6627</v>
      </c>
      <c r="TI39" s="182">
        <v>6629</v>
      </c>
      <c r="TJ39" s="182">
        <v>6665</v>
      </c>
      <c r="TK39" s="182">
        <v>6770</v>
      </c>
      <c r="TL39" s="182">
        <v>6890</v>
      </c>
      <c r="TM39" s="182">
        <v>6890</v>
      </c>
      <c r="TN39" s="182">
        <v>6900</v>
      </c>
      <c r="TO39" s="182">
        <v>6990</v>
      </c>
      <c r="TP39" s="182">
        <v>6990</v>
      </c>
      <c r="TQ39" s="182">
        <v>6990</v>
      </c>
      <c r="TR39" s="182">
        <v>6990</v>
      </c>
      <c r="TS39" s="182">
        <v>6990</v>
      </c>
      <c r="TT39" s="182">
        <v>6990</v>
      </c>
      <c r="TU39" s="182">
        <v>7003</v>
      </c>
      <c r="TV39" s="182">
        <v>7039</v>
      </c>
      <c r="TW39" s="182">
        <v>7117</v>
      </c>
      <c r="TX39" s="182">
        <v>7117</v>
      </c>
      <c r="TY39" s="182">
        <v>7117</v>
      </c>
      <c r="TZ39" s="182">
        <v>7170</v>
      </c>
      <c r="UA39" s="182">
        <v>7245</v>
      </c>
      <c r="UB39" s="182">
        <v>7245</v>
      </c>
      <c r="UC39" s="182">
        <v>7483</v>
      </c>
      <c r="UD39" s="182">
        <v>7483</v>
      </c>
      <c r="UE39" s="182">
        <v>7528</v>
      </c>
      <c r="UF39" s="182">
        <v>7622</v>
      </c>
      <c r="UG39" s="182">
        <v>7667</v>
      </c>
      <c r="UH39" s="182">
        <v>8144</v>
      </c>
      <c r="UI39" s="182">
        <v>8206</v>
      </c>
      <c r="UJ39" s="182">
        <v>8227</v>
      </c>
      <c r="UK39" s="182">
        <v>8276</v>
      </c>
      <c r="UL39" s="182">
        <v>8315</v>
      </c>
      <c r="UM39" s="182">
        <v>8315</v>
      </c>
      <c r="UN39" s="182">
        <v>8315</v>
      </c>
      <c r="UO39" s="182">
        <v>8315</v>
      </c>
      <c r="UP39" s="182">
        <v>8315</v>
      </c>
      <c r="UQ39" s="182">
        <v>8315</v>
      </c>
      <c r="UR39" s="182">
        <v>8315</v>
      </c>
      <c r="US39" s="182">
        <v>8381</v>
      </c>
      <c r="UT39" s="182">
        <v>8410</v>
      </c>
      <c r="UU39" s="182">
        <v>8524</v>
      </c>
      <c r="UV39" s="182">
        <v>8524</v>
      </c>
      <c r="UW39" s="182">
        <v>8531</v>
      </c>
      <c r="UX39" s="182">
        <v>8531</v>
      </c>
      <c r="UY39" s="182">
        <v>8604</v>
      </c>
      <c r="UZ39" s="182">
        <v>8639</v>
      </c>
      <c r="VA39" s="182">
        <v>8650</v>
      </c>
      <c r="VB39" s="182">
        <v>8650</v>
      </c>
      <c r="VC39" s="182">
        <v>8768</v>
      </c>
      <c r="VD39" s="182">
        <v>8768</v>
      </c>
      <c r="VE39" s="182">
        <v>8783</v>
      </c>
      <c r="VF39" s="182">
        <v>8961</v>
      </c>
      <c r="VG39" s="182">
        <v>8968</v>
      </c>
      <c r="VH39" s="182">
        <v>8968</v>
      </c>
      <c r="VI39" s="182">
        <v>8988</v>
      </c>
      <c r="VJ39" s="182">
        <v>9039</v>
      </c>
      <c r="VK39" s="182">
        <v>9046</v>
      </c>
      <c r="VL39" s="182">
        <v>9075</v>
      </c>
      <c r="VM39" s="182">
        <v>9075</v>
      </c>
      <c r="VN39" s="182">
        <v>9098</v>
      </c>
      <c r="VO39" s="182">
        <v>9162</v>
      </c>
      <c r="VP39" s="182">
        <v>9265</v>
      </c>
      <c r="VQ39" s="182">
        <v>9293</v>
      </c>
      <c r="VR39" s="182">
        <v>9340</v>
      </c>
      <c r="VS39" s="182">
        <v>9340</v>
      </c>
      <c r="VT39" s="182">
        <v>9346</v>
      </c>
      <c r="VU39" s="182">
        <v>9346</v>
      </c>
      <c r="VV39" s="182">
        <v>9346</v>
      </c>
      <c r="VW39" s="182">
        <v>9346</v>
      </c>
      <c r="VX39" s="182">
        <v>9346</v>
      </c>
      <c r="VY39" s="182">
        <v>9346</v>
      </c>
      <c r="VZ39" s="182">
        <v>9346</v>
      </c>
      <c r="WA39" s="182">
        <v>9346</v>
      </c>
      <c r="WB39" s="182">
        <v>9346</v>
      </c>
      <c r="WC39" s="182">
        <v>9412</v>
      </c>
      <c r="WD39" s="182">
        <v>9412</v>
      </c>
      <c r="WE39" s="182">
        <v>9514</v>
      </c>
      <c r="WF39" s="182">
        <v>9514</v>
      </c>
      <c r="WG39" s="182">
        <v>9524</v>
      </c>
      <c r="WH39" s="182">
        <v>9616</v>
      </c>
      <c r="WI39" s="182">
        <v>9636</v>
      </c>
      <c r="WJ39" s="182">
        <v>9636</v>
      </c>
      <c r="WK39" s="182">
        <v>9636</v>
      </c>
      <c r="WL39" s="182">
        <v>9729</v>
      </c>
      <c r="WM39" s="182">
        <v>9729</v>
      </c>
      <c r="WN39" s="182">
        <v>9779</v>
      </c>
      <c r="WO39" s="182">
        <v>9852</v>
      </c>
      <c r="WP39" s="182">
        <v>9885</v>
      </c>
      <c r="WQ39" s="182">
        <v>9885</v>
      </c>
      <c r="WR39" s="182">
        <v>9885</v>
      </c>
      <c r="WS39" s="182">
        <v>9906</v>
      </c>
      <c r="WT39" s="182">
        <v>9909</v>
      </c>
      <c r="WU39" s="182">
        <v>9909</v>
      </c>
      <c r="WV39" s="182">
        <v>9909</v>
      </c>
      <c r="WW39" s="182">
        <v>9909</v>
      </c>
      <c r="WX39" s="182">
        <v>9909</v>
      </c>
      <c r="WY39" s="182">
        <v>9909</v>
      </c>
      <c r="WZ39" s="182">
        <v>9909</v>
      </c>
      <c r="XA39" s="182">
        <v>9909</v>
      </c>
      <c r="XB39" s="182">
        <v>10046</v>
      </c>
      <c r="XC39" s="182">
        <v>10086</v>
      </c>
      <c r="XD39" s="182">
        <v>10257</v>
      </c>
      <c r="XE39" s="182">
        <v>10327</v>
      </c>
      <c r="XF39" s="182">
        <v>10349</v>
      </c>
      <c r="XG39" s="182">
        <v>14044</v>
      </c>
      <c r="XH39" s="182">
        <v>14044</v>
      </c>
      <c r="XI39" s="182">
        <v>15982</v>
      </c>
      <c r="XJ39" s="182">
        <v>16888</v>
      </c>
      <c r="XK39" s="182">
        <v>16888</v>
      </c>
      <c r="XL39" s="182">
        <v>16965</v>
      </c>
      <c r="XM39" s="182">
        <v>18616</v>
      </c>
      <c r="ZL39" s="182" t="str">
        <f t="shared" si="1"/>
        <v>BOGOTA -PARIS</v>
      </c>
      <c r="ZM39" s="183" t="s">
        <v>532</v>
      </c>
      <c r="ZN39" s="182" t="s">
        <v>526</v>
      </c>
      <c r="ZO39" s="182">
        <v>8633</v>
      </c>
      <c r="ZP39" s="198">
        <v>1985.5900000000001</v>
      </c>
      <c r="ZQ39" s="185"/>
      <c r="ZR39" s="185"/>
      <c r="ZS39" s="185"/>
      <c r="ZT39" s="185"/>
    </row>
    <row r="40" spans="1:696" s="181" customFormat="1" ht="28.8">
      <c r="B40" s="175"/>
      <c r="C40" s="175"/>
      <c r="D40" s="741"/>
      <c r="E40" s="190" t="s">
        <v>341</v>
      </c>
      <c r="F40" s="187">
        <f>F39*'Données Aériens Personnel'!$F$20</f>
        <v>66.254000000000005</v>
      </c>
      <c r="G40" s="187">
        <f>G39*'Données Aériens Personnel'!$F$20</f>
        <v>77.244</v>
      </c>
      <c r="H40" s="187">
        <f>H39*'Données Aériens Personnel'!$F$20</f>
        <v>86.664000000000001</v>
      </c>
      <c r="I40" s="187">
        <f>I39*'Données Aériens Personnel'!$F$20</f>
        <v>86.664000000000001</v>
      </c>
      <c r="J40" s="187">
        <f>J39*'Données Aériens Personnel'!$F$20</f>
        <v>86.977999999999994</v>
      </c>
      <c r="K40" s="187">
        <f>K39*'Données Aériens Personnel'!$F$20</f>
        <v>93.572000000000003</v>
      </c>
      <c r="L40" s="187">
        <f>L39*'Données Aériens Personnel'!$F$20</f>
        <v>93.572000000000003</v>
      </c>
      <c r="M40" s="187">
        <f>M39*'Données Aériens Personnel'!$F$20</f>
        <v>93.572000000000003</v>
      </c>
      <c r="N40" s="187">
        <f>N39*'Données Aériens Personnel'!$F$20</f>
        <v>93.572000000000003</v>
      </c>
      <c r="O40" s="187">
        <f>O39*'Données Aériens Personnel'!$F$20</f>
        <v>93.572000000000003</v>
      </c>
      <c r="P40" s="187">
        <f>P39*'Données Aériens Personnel'!$F$20</f>
        <v>93.572000000000003</v>
      </c>
      <c r="Q40" s="187">
        <f>Q39*'Données Aériens Personnel'!$F$20</f>
        <v>93.572000000000003</v>
      </c>
      <c r="R40" s="187">
        <f>R39*'Données Aériens Personnel'!$F$20</f>
        <v>93.572000000000003</v>
      </c>
      <c r="S40" s="187">
        <f>S39*'Données Aériens Personnel'!$F$20</f>
        <v>94.513999999999996</v>
      </c>
      <c r="T40" s="187">
        <f>T39*'Données Aériens Personnel'!$F$20</f>
        <v>94.513999999999996</v>
      </c>
      <c r="U40" s="187">
        <f>U39*'Données Aériens Personnel'!$F$20</f>
        <v>96.712000000000003</v>
      </c>
      <c r="V40" s="187">
        <f>V39*'Données Aériens Personnel'!$F$20</f>
        <v>96.712000000000003</v>
      </c>
      <c r="W40" s="187">
        <f>W39*'Données Aériens Personnel'!$F$20</f>
        <v>98.281999999999996</v>
      </c>
      <c r="X40" s="187">
        <f>X39*'Données Aériens Personnel'!$F$20</f>
        <v>105.19</v>
      </c>
      <c r="Y40" s="187">
        <f>Y39*'Données Aériens Personnel'!$F$20</f>
        <v>105.504</v>
      </c>
      <c r="Z40" s="187">
        <f>Z39*'Données Aériens Personnel'!$F$20</f>
        <v>106.446</v>
      </c>
      <c r="AA40" s="187">
        <f>AA39*'Données Aériens Personnel'!$F$20</f>
        <v>106.76</v>
      </c>
      <c r="AB40" s="187">
        <f>AB39*'Données Aériens Personnel'!$F$20</f>
        <v>106.76</v>
      </c>
      <c r="AC40" s="187">
        <f>AC39*'Données Aériens Personnel'!$F$20</f>
        <v>106.76</v>
      </c>
      <c r="AD40" s="187">
        <f>AD39*'Données Aériens Personnel'!$F$20</f>
        <v>106.76</v>
      </c>
      <c r="AE40" s="187">
        <f>AE39*'Données Aériens Personnel'!$F$20</f>
        <v>106.76</v>
      </c>
      <c r="AF40" s="187">
        <f>AF39*'Données Aériens Personnel'!$F$20</f>
        <v>106.76</v>
      </c>
      <c r="AG40" s="187">
        <f>AG39*'Données Aériens Personnel'!$F$20</f>
        <v>106.76</v>
      </c>
      <c r="AH40" s="187">
        <f>AH39*'Données Aériens Personnel'!$F$20</f>
        <v>106.76</v>
      </c>
      <c r="AI40" s="187">
        <f>AI39*'Données Aériens Personnel'!$F$20</f>
        <v>107.702</v>
      </c>
      <c r="AJ40" s="187">
        <f>AJ39*'Données Aériens Personnel'!$F$20</f>
        <v>112.098</v>
      </c>
      <c r="AK40" s="187">
        <f>AK39*'Données Aériens Personnel'!$F$20</f>
        <v>112.098</v>
      </c>
      <c r="AL40" s="187">
        <f>AL39*'Données Aériens Personnel'!$F$20</f>
        <v>112.726</v>
      </c>
      <c r="AM40" s="187">
        <f>AM39*'Données Aériens Personnel'!$F$20</f>
        <v>112.726</v>
      </c>
      <c r="AN40" s="187">
        <f>AN39*'Données Aériens Personnel'!$F$20</f>
        <v>112.726</v>
      </c>
      <c r="AO40" s="187">
        <f>AO39*'Données Aériens Personnel'!$F$20</f>
        <v>112.726</v>
      </c>
      <c r="AP40" s="187">
        <f>AP39*'Données Aériens Personnel'!$F$20</f>
        <v>112.726</v>
      </c>
      <c r="AQ40" s="187">
        <f>AQ39*'Données Aériens Personnel'!$F$20</f>
        <v>112.726</v>
      </c>
      <c r="AR40" s="187">
        <f>AR39*'Données Aériens Personnel'!$F$20</f>
        <v>112.726</v>
      </c>
      <c r="AS40" s="187">
        <f>AS39*'Données Aériens Personnel'!$F$20</f>
        <v>112.726</v>
      </c>
      <c r="AT40" s="187">
        <f>AT39*'Données Aériens Personnel'!$F$20</f>
        <v>112.726</v>
      </c>
      <c r="AU40" s="187">
        <f>AU39*'Données Aériens Personnel'!$F$20</f>
        <v>112.726</v>
      </c>
      <c r="AV40" s="187">
        <f>AV39*'Données Aériens Personnel'!$F$20</f>
        <v>112.726</v>
      </c>
      <c r="AW40" s="187">
        <f>AW39*'Données Aériens Personnel'!$F$20</f>
        <v>112.726</v>
      </c>
      <c r="AX40" s="187">
        <f>AX39*'Données Aériens Personnel'!$F$20</f>
        <v>112.726</v>
      </c>
      <c r="AY40" s="187">
        <f>AY39*'Données Aériens Personnel'!$F$20</f>
        <v>112.726</v>
      </c>
      <c r="AZ40" s="187">
        <f>AZ39*'Données Aériens Personnel'!$F$20</f>
        <v>112.726</v>
      </c>
      <c r="BA40" s="187">
        <f>BA39*'Données Aériens Personnel'!$F$20</f>
        <v>112.726</v>
      </c>
      <c r="BB40" s="187">
        <f>BB39*'Données Aériens Personnel'!$F$20</f>
        <v>112.726</v>
      </c>
      <c r="BC40" s="187">
        <f>BC39*'Données Aériens Personnel'!$F$20</f>
        <v>112.726</v>
      </c>
      <c r="BD40" s="187">
        <f>BD39*'Données Aériens Personnel'!$F$20</f>
        <v>112.726</v>
      </c>
      <c r="BE40" s="187">
        <f>BE39*'Données Aériens Personnel'!$F$20</f>
        <v>120.57599999999999</v>
      </c>
      <c r="BF40" s="187">
        <f>BF39*'Données Aériens Personnel'!$F$20</f>
        <v>120.57599999999999</v>
      </c>
      <c r="BG40" s="187">
        <f>BG39*'Données Aériens Personnel'!$F$20</f>
        <v>122.774</v>
      </c>
      <c r="BH40" s="187">
        <f>BH39*'Données Aériens Personnel'!$F$20</f>
        <v>123.08799999999999</v>
      </c>
      <c r="BI40" s="187">
        <f>BI39*'Données Aériens Personnel'!$F$20</f>
        <v>123.08799999999999</v>
      </c>
      <c r="BJ40" s="187">
        <f>BJ39*'Données Aériens Personnel'!$F$20</f>
        <v>123.08799999999999</v>
      </c>
      <c r="BK40" s="187">
        <f>BK39*'Données Aériens Personnel'!$F$20</f>
        <v>129.99600000000001</v>
      </c>
      <c r="BL40" s="187">
        <f>BL39*'Données Aériens Personnel'!$F$20</f>
        <v>136.59</v>
      </c>
      <c r="BM40" s="187">
        <f>BM39*'Données Aériens Personnel'!$F$20</f>
        <v>136.59</v>
      </c>
      <c r="BN40" s="187">
        <f>BN39*'Données Aériens Personnel'!$F$20</f>
        <v>136.59</v>
      </c>
      <c r="BO40" s="187">
        <f>BO39*'Données Aériens Personnel'!$F$20</f>
        <v>136.59</v>
      </c>
      <c r="BP40" s="187">
        <f>BP39*'Données Aériens Personnel'!$F$20</f>
        <v>136.59</v>
      </c>
      <c r="BQ40" s="187">
        <f>BQ39*'Données Aériens Personnel'!$F$20</f>
        <v>136.59</v>
      </c>
      <c r="BR40" s="187">
        <f>BR39*'Données Aériens Personnel'!$F$20</f>
        <v>136.59</v>
      </c>
      <c r="BS40" s="187">
        <f>BS39*'Données Aériens Personnel'!$F$20</f>
        <v>136.59</v>
      </c>
      <c r="BT40" s="187">
        <f>BT39*'Données Aériens Personnel'!$F$20</f>
        <v>136.59</v>
      </c>
      <c r="BU40" s="187">
        <f>BU39*'Données Aériens Personnel'!$F$20</f>
        <v>136.59</v>
      </c>
      <c r="BV40" s="187">
        <f>BV39*'Données Aériens Personnel'!$F$20</f>
        <v>136.59</v>
      </c>
      <c r="BW40" s="187">
        <f>BW39*'Données Aériens Personnel'!$F$20</f>
        <v>136.59</v>
      </c>
      <c r="BX40" s="187">
        <f>BX39*'Données Aériens Personnel'!$F$20</f>
        <v>136.59</v>
      </c>
      <c r="BY40" s="187">
        <f>BY39*'Données Aériens Personnel'!$F$20</f>
        <v>136.59</v>
      </c>
      <c r="BZ40" s="187">
        <f>BZ39*'Données Aériens Personnel'!$F$20</f>
        <v>136.59</v>
      </c>
      <c r="CA40" s="187">
        <f>CA39*'Données Aériens Personnel'!$F$20</f>
        <v>136.59</v>
      </c>
      <c r="CB40" s="187">
        <f>CB39*'Données Aériens Personnel'!$F$20</f>
        <v>136.59</v>
      </c>
      <c r="CC40" s="187">
        <f>CC39*'Données Aériens Personnel'!$F$20</f>
        <v>136.59</v>
      </c>
      <c r="CD40" s="187">
        <f>CD39*'Données Aériens Personnel'!$F$20</f>
        <v>136.59</v>
      </c>
      <c r="CE40" s="187">
        <f>CE39*'Données Aériens Personnel'!$F$20</f>
        <v>136.59</v>
      </c>
      <c r="CF40" s="187">
        <f>CF39*'Données Aériens Personnel'!$F$20</f>
        <v>136.59</v>
      </c>
      <c r="CG40" s="187">
        <f>CG39*'Données Aériens Personnel'!$F$20</f>
        <v>138.78800000000001</v>
      </c>
      <c r="CH40" s="187">
        <f>CH39*'Données Aériens Personnel'!$F$20</f>
        <v>138.78800000000001</v>
      </c>
      <c r="CI40" s="187">
        <f>CI39*'Données Aériens Personnel'!$F$20</f>
        <v>145.06800000000001</v>
      </c>
      <c r="CJ40" s="187">
        <f>CJ39*'Données Aériens Personnel'!$F$20</f>
        <v>145.696</v>
      </c>
      <c r="CK40" s="187">
        <f>CK39*'Données Aériens Personnel'!$F$20</f>
        <v>147.26599999999999</v>
      </c>
      <c r="CL40" s="187">
        <f>CL39*'Données Aériens Personnel'!$F$20</f>
        <v>147.26599999999999</v>
      </c>
      <c r="CM40" s="187">
        <f>CM39*'Données Aériens Personnel'!$F$20</f>
        <v>157</v>
      </c>
      <c r="CN40" s="187">
        <f>CN39*'Données Aériens Personnel'!$F$20</f>
        <v>157</v>
      </c>
      <c r="CO40" s="187">
        <f>CO39*'Données Aériens Personnel'!$F$20</f>
        <v>157</v>
      </c>
      <c r="CP40" s="187">
        <f>CP39*'Données Aériens Personnel'!$F$20</f>
        <v>157</v>
      </c>
      <c r="CQ40" s="187">
        <f>CQ39*'Données Aériens Personnel'!$F$20</f>
        <v>161.71</v>
      </c>
      <c r="CR40" s="187">
        <f>CR39*'Données Aériens Personnel'!$F$20</f>
        <v>161.71</v>
      </c>
      <c r="CS40" s="187">
        <f>CS39*'Données Aériens Personnel'!$F$20</f>
        <v>161.71</v>
      </c>
      <c r="CT40" s="187">
        <f>CT39*'Données Aériens Personnel'!$F$20</f>
        <v>161.71</v>
      </c>
      <c r="CU40" s="187">
        <f>CU39*'Données Aériens Personnel'!$F$20</f>
        <v>161.71</v>
      </c>
      <c r="CV40" s="187">
        <f>CV39*'Données Aériens Personnel'!$F$20</f>
        <v>161.71</v>
      </c>
      <c r="CW40" s="187">
        <f>CW39*'Données Aériens Personnel'!$F$20</f>
        <v>161.71</v>
      </c>
      <c r="CX40" s="187">
        <f>CX39*'Données Aériens Personnel'!$F$20</f>
        <v>161.71</v>
      </c>
      <c r="CY40" s="187">
        <f>CY39*'Données Aériens Personnel'!$F$20</f>
        <v>161.71</v>
      </c>
      <c r="CZ40" s="187">
        <f>CZ39*'Données Aériens Personnel'!$F$20</f>
        <v>161.71</v>
      </c>
      <c r="DA40" s="187">
        <f>DA39*'Données Aériens Personnel'!$F$20</f>
        <v>161.71</v>
      </c>
      <c r="DB40" s="187">
        <f>DB39*'Données Aériens Personnel'!$F$20</f>
        <v>161.71</v>
      </c>
      <c r="DC40" s="187">
        <f>DC39*'Données Aériens Personnel'!$F$20</f>
        <v>161.71</v>
      </c>
      <c r="DD40" s="187">
        <f>DD39*'Données Aériens Personnel'!$F$20</f>
        <v>161.71</v>
      </c>
      <c r="DE40" s="187">
        <f>DE39*'Données Aériens Personnel'!$F$20</f>
        <v>161.71</v>
      </c>
      <c r="DF40" s="187">
        <f>DF39*'Données Aériens Personnel'!$F$20</f>
        <v>161.71</v>
      </c>
      <c r="DG40" s="187">
        <f>DG39*'Données Aériens Personnel'!$F$20</f>
        <v>161.71</v>
      </c>
      <c r="DH40" s="187">
        <f>DH39*'Données Aériens Personnel'!$F$20</f>
        <v>161.71</v>
      </c>
      <c r="DI40" s="187">
        <f>DI39*'Données Aériens Personnel'!$F$20</f>
        <v>161.71</v>
      </c>
      <c r="DJ40" s="187">
        <f>DJ39*'Données Aériens Personnel'!$F$20</f>
        <v>161.71</v>
      </c>
      <c r="DK40" s="187">
        <f>DK39*'Données Aériens Personnel'!$F$20</f>
        <v>161.71</v>
      </c>
      <c r="DL40" s="187">
        <f>DL39*'Données Aériens Personnel'!$F$20</f>
        <v>161.71</v>
      </c>
      <c r="DM40" s="187">
        <f>DM39*'Données Aériens Personnel'!$F$20</f>
        <v>166.10599999999999</v>
      </c>
      <c r="DN40" s="187">
        <f>DN39*'Données Aériens Personnel'!$F$20</f>
        <v>166.10599999999999</v>
      </c>
      <c r="DO40" s="187">
        <f>DO39*'Données Aériens Personnel'!$F$20</f>
        <v>166.10599999999999</v>
      </c>
      <c r="DP40" s="187">
        <f>DP39*'Données Aériens Personnel'!$F$20</f>
        <v>166.10599999999999</v>
      </c>
      <c r="DQ40" s="187">
        <f>DQ39*'Données Aériens Personnel'!$F$20</f>
        <v>166.73400000000001</v>
      </c>
      <c r="DR40" s="187">
        <f>DR39*'Données Aériens Personnel'!$F$20</f>
        <v>166.73400000000001</v>
      </c>
      <c r="DS40" s="187">
        <f>DS39*'Données Aériens Personnel'!$F$20</f>
        <v>166.73400000000001</v>
      </c>
      <c r="DT40" s="187">
        <f>DT39*'Données Aériens Personnel'!$F$20</f>
        <v>166.73400000000001</v>
      </c>
      <c r="DU40" s="187">
        <f>DU39*'Données Aériens Personnel'!$F$20</f>
        <v>166.73400000000001</v>
      </c>
      <c r="DV40" s="187">
        <f>DV39*'Données Aériens Personnel'!$F$20</f>
        <v>166.73400000000001</v>
      </c>
      <c r="DW40" s="187">
        <f>DW39*'Données Aériens Personnel'!$F$20</f>
        <v>166.73400000000001</v>
      </c>
      <c r="DX40" s="187">
        <f>DX39*'Données Aériens Personnel'!$F$20</f>
        <v>166.73400000000001</v>
      </c>
      <c r="DY40" s="187">
        <f>DY39*'Données Aériens Personnel'!$F$20</f>
        <v>166.73400000000001</v>
      </c>
      <c r="DZ40" s="187">
        <f>DZ39*'Données Aériens Personnel'!$F$20</f>
        <v>170.18799999999999</v>
      </c>
      <c r="EA40" s="187">
        <f>EA39*'Données Aériens Personnel'!$F$20</f>
        <v>171.13</v>
      </c>
      <c r="EB40" s="187">
        <f>EB39*'Données Aériens Personnel'!$F$20</f>
        <v>171.13</v>
      </c>
      <c r="EC40" s="187">
        <f>EC39*'Données Aériens Personnel'!$F$20</f>
        <v>171.13</v>
      </c>
      <c r="ED40" s="187">
        <f>ED39*'Données Aériens Personnel'!$F$20</f>
        <v>171.13</v>
      </c>
      <c r="EE40" s="187">
        <f>EE39*'Données Aériens Personnel'!$F$20</f>
        <v>171.13</v>
      </c>
      <c r="EF40" s="187">
        <f>EF39*'Données Aériens Personnel'!$F$20</f>
        <v>171.13</v>
      </c>
      <c r="EG40" s="187">
        <f>EG39*'Données Aériens Personnel'!$F$20</f>
        <v>171.13</v>
      </c>
      <c r="EH40" s="187">
        <f>EH39*'Données Aériens Personnel'!$F$20</f>
        <v>174.898</v>
      </c>
      <c r="EI40" s="187">
        <f>EI39*'Données Aériens Personnel'!$F$20</f>
        <v>174.898</v>
      </c>
      <c r="EJ40" s="187">
        <f>EJ39*'Données Aériens Personnel'!$F$20</f>
        <v>174.898</v>
      </c>
      <c r="EK40" s="187">
        <f>EK39*'Données Aériens Personnel'!$F$20</f>
        <v>174.898</v>
      </c>
      <c r="EL40" s="187">
        <f>EL39*'Données Aériens Personnel'!$F$20</f>
        <v>175.52600000000001</v>
      </c>
      <c r="EM40" s="187">
        <f>EM39*'Données Aériens Personnel'!$F$20</f>
        <v>175.52600000000001</v>
      </c>
      <c r="EN40" s="187">
        <f>EN39*'Données Aériens Personnel'!$F$20</f>
        <v>175.52600000000001</v>
      </c>
      <c r="EO40" s="187">
        <f>EO39*'Données Aériens Personnel'!$F$20</f>
        <v>175.52600000000001</v>
      </c>
      <c r="EP40" s="187">
        <f>EP39*'Données Aériens Personnel'!$F$20</f>
        <v>175.52600000000001</v>
      </c>
      <c r="EQ40" s="187">
        <f>EQ39*'Données Aériens Personnel'!$F$20</f>
        <v>175.52600000000001</v>
      </c>
      <c r="ER40" s="187">
        <f>ER39*'Données Aériens Personnel'!$F$20</f>
        <v>175.52600000000001</v>
      </c>
      <c r="ES40" s="187">
        <f>ES39*'Données Aériens Personnel'!$F$20</f>
        <v>176.46799999999999</v>
      </c>
      <c r="ET40" s="187">
        <f>ET39*'Données Aériens Personnel'!$F$20</f>
        <v>176.46799999999999</v>
      </c>
      <c r="EU40" s="187">
        <f>EU39*'Données Aériens Personnel'!$F$20</f>
        <v>176.46799999999999</v>
      </c>
      <c r="EV40" s="187">
        <f>EV39*'Données Aériens Personnel'!$F$20</f>
        <v>176.46799999999999</v>
      </c>
      <c r="EW40" s="187">
        <f>EW39*'Données Aériens Personnel'!$F$20</f>
        <v>176.46799999999999</v>
      </c>
      <c r="EX40" s="187">
        <f>EX39*'Données Aériens Personnel'!$F$20</f>
        <v>176.46799999999999</v>
      </c>
      <c r="EY40" s="187">
        <f>EY39*'Données Aériens Personnel'!$F$20</f>
        <v>176.46799999999999</v>
      </c>
      <c r="EZ40" s="187">
        <f>EZ39*'Données Aériens Personnel'!$F$20</f>
        <v>176.46799999999999</v>
      </c>
      <c r="FA40" s="187">
        <f>FA39*'Données Aériens Personnel'!$F$20</f>
        <v>177.41</v>
      </c>
      <c r="FB40" s="187">
        <f>FB39*'Données Aériens Personnel'!$F$20</f>
        <v>177.41</v>
      </c>
      <c r="FC40" s="187">
        <f>FC39*'Données Aériens Personnel'!$F$20</f>
        <v>177.72399999999999</v>
      </c>
      <c r="FD40" s="187">
        <f>FD39*'Données Aériens Personnel'!$F$20</f>
        <v>177.72399999999999</v>
      </c>
      <c r="FE40" s="187">
        <f>FE39*'Données Aériens Personnel'!$F$20</f>
        <v>178.03800000000001</v>
      </c>
      <c r="FF40" s="187">
        <f>FF39*'Données Aériens Personnel'!$F$20</f>
        <v>178.03800000000001</v>
      </c>
      <c r="FG40" s="187">
        <f>FG39*'Données Aériens Personnel'!$F$20</f>
        <v>178.03800000000001</v>
      </c>
      <c r="FH40" s="187">
        <f>FH39*'Données Aériens Personnel'!$F$20</f>
        <v>180.55</v>
      </c>
      <c r="FI40" s="187">
        <f>FI39*'Données Aériens Personnel'!$F$20</f>
        <v>180.55</v>
      </c>
      <c r="FJ40" s="187">
        <f>FJ39*'Données Aériens Personnel'!$F$20</f>
        <v>180.55</v>
      </c>
      <c r="FK40" s="187">
        <f>FK39*'Données Aériens Personnel'!$F$20</f>
        <v>180.55</v>
      </c>
      <c r="FL40" s="187">
        <f>FL39*'Données Aériens Personnel'!$F$20</f>
        <v>180.55</v>
      </c>
      <c r="FM40" s="187">
        <f>FM39*'Données Aériens Personnel'!$F$20</f>
        <v>180.55</v>
      </c>
      <c r="FN40" s="187">
        <f>FN39*'Données Aériens Personnel'!$F$20</f>
        <v>180.55</v>
      </c>
      <c r="FO40" s="187">
        <f>FO39*'Données Aériens Personnel'!$F$20</f>
        <v>180.55</v>
      </c>
      <c r="FP40" s="187">
        <f>FP39*'Données Aériens Personnel'!$F$20</f>
        <v>180.55</v>
      </c>
      <c r="FQ40" s="187">
        <f>FQ39*'Données Aériens Personnel'!$F$20</f>
        <v>180.55</v>
      </c>
      <c r="FR40" s="187">
        <f>FR39*'Données Aériens Personnel'!$F$20</f>
        <v>180.55</v>
      </c>
      <c r="FS40" s="187">
        <f>FS39*'Données Aériens Personnel'!$F$20</f>
        <v>180.55</v>
      </c>
      <c r="FT40" s="187">
        <f>FT39*'Données Aériens Personnel'!$F$20</f>
        <v>180.55</v>
      </c>
      <c r="FU40" s="187">
        <f>FU39*'Données Aériens Personnel'!$F$20</f>
        <v>180.55</v>
      </c>
      <c r="FV40" s="187">
        <f>FV39*'Données Aériens Personnel'!$F$20</f>
        <v>183.376</v>
      </c>
      <c r="FW40" s="187">
        <f>FW39*'Données Aériens Personnel'!$F$20</f>
        <v>184.63200000000001</v>
      </c>
      <c r="FX40" s="187">
        <f>FX39*'Données Aériens Personnel'!$F$20</f>
        <v>192.16800000000001</v>
      </c>
      <c r="FY40" s="187">
        <f>FY39*'Données Aériens Personnel'!$F$20</f>
        <v>192.16800000000001</v>
      </c>
      <c r="FZ40" s="187">
        <f>FZ39*'Données Aériens Personnel'!$F$20</f>
        <v>195.93600000000001</v>
      </c>
      <c r="GA40" s="187">
        <f>GA39*'Données Aériens Personnel'!$F$20</f>
        <v>195.93600000000001</v>
      </c>
      <c r="GB40" s="187">
        <f>GB39*'Données Aériens Personnel'!$F$20</f>
        <v>195.93600000000001</v>
      </c>
      <c r="GC40" s="187">
        <f>GC39*'Données Aériens Personnel'!$F$20</f>
        <v>195.93600000000001</v>
      </c>
      <c r="GD40" s="187">
        <f>GD39*'Données Aériens Personnel'!$F$20</f>
        <v>195.93600000000001</v>
      </c>
      <c r="GE40" s="187">
        <f>GE39*'Données Aériens Personnel'!$F$20</f>
        <v>195.93600000000001</v>
      </c>
      <c r="GF40" s="187">
        <f>GF39*'Données Aériens Personnel'!$F$20</f>
        <v>195.93600000000001</v>
      </c>
      <c r="GG40" s="187">
        <f>GG39*'Données Aériens Personnel'!$F$20</f>
        <v>199.07599999999999</v>
      </c>
      <c r="GH40" s="187">
        <f>GH39*'Données Aériens Personnel'!$F$20</f>
        <v>202.21600000000001</v>
      </c>
      <c r="GI40" s="187">
        <f>GI39*'Données Aériens Personnel'!$F$20</f>
        <v>202.21600000000001</v>
      </c>
      <c r="GJ40" s="187">
        <f>GJ39*'Données Aériens Personnel'!$F$20</f>
        <v>205.042</v>
      </c>
      <c r="GK40" s="187">
        <f>GK39*'Données Aériens Personnel'!$F$20</f>
        <v>205.042</v>
      </c>
      <c r="GL40" s="187">
        <f>GL39*'Données Aériens Personnel'!$F$20</f>
        <v>205.042</v>
      </c>
      <c r="GM40" s="187">
        <f>GM39*'Données Aériens Personnel'!$F$20</f>
        <v>205.042</v>
      </c>
      <c r="GN40" s="187">
        <f>GN39*'Données Aériens Personnel'!$F$20</f>
        <v>205.042</v>
      </c>
      <c r="GO40" s="187">
        <f>GO39*'Données Aériens Personnel'!$F$20</f>
        <v>206.92599999999999</v>
      </c>
      <c r="GP40" s="187">
        <f>GP39*'Données Aériens Personnel'!$F$20</f>
        <v>206.92599999999999</v>
      </c>
      <c r="GQ40" s="187">
        <f>GQ39*'Données Aériens Personnel'!$F$20</f>
        <v>211.95</v>
      </c>
      <c r="GR40" s="187">
        <f>GR39*'Données Aériens Personnel'!$F$20</f>
        <v>211.95</v>
      </c>
      <c r="GS40" s="187">
        <f>GS39*'Données Aériens Personnel'!$F$20</f>
        <v>212.26400000000001</v>
      </c>
      <c r="GT40" s="187">
        <f>GT39*'Données Aériens Personnel'!$F$20</f>
        <v>212.26400000000001</v>
      </c>
      <c r="GU40" s="187">
        <f>GU39*'Données Aériens Personnel'!$F$20</f>
        <v>212.26400000000001</v>
      </c>
      <c r="GV40" s="187">
        <f>GV39*'Données Aériens Personnel'!$F$20</f>
        <v>213.834</v>
      </c>
      <c r="GW40" s="187">
        <f>GW39*'Données Aériens Personnel'!$F$20</f>
        <v>213.834</v>
      </c>
      <c r="GX40" s="187">
        <f>GX39*'Données Aériens Personnel'!$F$20</f>
        <v>213.834</v>
      </c>
      <c r="GY40" s="187">
        <f>GY39*'Données Aériens Personnel'!$F$20</f>
        <v>213.834</v>
      </c>
      <c r="GZ40" s="187">
        <f>GZ39*'Données Aériens Personnel'!$F$20</f>
        <v>215.404</v>
      </c>
      <c r="HA40" s="187">
        <f>HA39*'Données Aériens Personnel'!$F$20</f>
        <v>216.03200000000001</v>
      </c>
      <c r="HB40" s="187">
        <f>HB39*'Données Aériens Personnel'!$F$20</f>
        <v>217.916</v>
      </c>
      <c r="HC40" s="187">
        <f>HC39*'Données Aériens Personnel'!$F$20</f>
        <v>217.916</v>
      </c>
      <c r="HD40" s="187">
        <f>HD39*'Données Aériens Personnel'!$F$20</f>
        <v>218.23</v>
      </c>
      <c r="HE40" s="187">
        <f>HE39*'Données Aériens Personnel'!$F$20</f>
        <v>222.626</v>
      </c>
      <c r="HF40" s="187">
        <f>HF39*'Données Aériens Personnel'!$F$20</f>
        <v>230.476</v>
      </c>
      <c r="HG40" s="187">
        <f>HG39*'Données Aériens Personnel'!$F$20</f>
        <v>230.79</v>
      </c>
      <c r="HH40" s="187">
        <f>HH39*'Données Aériens Personnel'!$F$20</f>
        <v>230.79</v>
      </c>
      <c r="HI40" s="187">
        <f>HI39*'Données Aériens Personnel'!$F$20</f>
        <v>230.79</v>
      </c>
      <c r="HJ40" s="187">
        <f>HJ39*'Données Aériens Personnel'!$F$20</f>
        <v>230.79</v>
      </c>
      <c r="HK40" s="187">
        <f>HK39*'Données Aériens Personnel'!$F$20</f>
        <v>230.79</v>
      </c>
      <c r="HL40" s="187">
        <f>HL39*'Données Aériens Personnel'!$F$20</f>
        <v>230.79</v>
      </c>
      <c r="HM40" s="187">
        <f>HM39*'Données Aériens Personnel'!$F$20</f>
        <v>230.79</v>
      </c>
      <c r="HN40" s="187">
        <f>HN39*'Données Aériens Personnel'!$F$20</f>
        <v>230.79</v>
      </c>
      <c r="HO40" s="187">
        <f>HO39*'Données Aériens Personnel'!$F$20</f>
        <v>230.79</v>
      </c>
      <c r="HP40" s="187">
        <f>HP39*'Données Aériens Personnel'!$F$20</f>
        <v>230.79</v>
      </c>
      <c r="HQ40" s="187">
        <f>HQ39*'Données Aériens Personnel'!$F$20</f>
        <v>230.79</v>
      </c>
      <c r="HR40" s="187">
        <f>HR39*'Données Aériens Personnel'!$F$20</f>
        <v>230.79</v>
      </c>
      <c r="HS40" s="187">
        <f>HS39*'Données Aériens Personnel'!$F$20</f>
        <v>230.79</v>
      </c>
      <c r="HT40" s="187">
        <f>HT39*'Données Aériens Personnel'!$F$20</f>
        <v>230.79</v>
      </c>
      <c r="HU40" s="187">
        <f>HU39*'Données Aériens Personnel'!$F$20</f>
        <v>230.79</v>
      </c>
      <c r="HV40" s="187">
        <f>HV39*'Données Aériens Personnel'!$F$20</f>
        <v>230.79</v>
      </c>
      <c r="HW40" s="187">
        <f>HW39*'Données Aériens Personnel'!$F$20</f>
        <v>230.79</v>
      </c>
      <c r="HX40" s="187">
        <f>HX39*'Données Aériens Personnel'!$F$20</f>
        <v>230.79</v>
      </c>
      <c r="HY40" s="187">
        <f>HY39*'Données Aériens Personnel'!$F$20</f>
        <v>230.79</v>
      </c>
      <c r="HZ40" s="187">
        <f>HZ39*'Données Aériens Personnel'!$F$20</f>
        <v>230.79</v>
      </c>
      <c r="IA40" s="187">
        <f>IA39*'Données Aériens Personnel'!$F$20</f>
        <v>230.79</v>
      </c>
      <c r="IB40" s="187">
        <f>IB39*'Données Aériens Personnel'!$F$20</f>
        <v>230.79</v>
      </c>
      <c r="IC40" s="187">
        <f>IC39*'Données Aériens Personnel'!$F$20</f>
        <v>230.79</v>
      </c>
      <c r="ID40" s="187">
        <f>ID39*'Données Aériens Personnel'!$F$20</f>
        <v>230.79</v>
      </c>
      <c r="IE40" s="187">
        <f>IE39*'Données Aériens Personnel'!$F$20</f>
        <v>230.79</v>
      </c>
      <c r="IF40" s="187">
        <f>IF39*'Données Aériens Personnel'!$F$20</f>
        <v>230.79</v>
      </c>
      <c r="IG40" s="187">
        <f>IG39*'Données Aériens Personnel'!$F$20</f>
        <v>230.79</v>
      </c>
      <c r="IH40" s="187">
        <f>IH39*'Données Aériens Personnel'!$F$20</f>
        <v>230.79</v>
      </c>
      <c r="II40" s="187">
        <f>II39*'Données Aériens Personnel'!$F$20</f>
        <v>230.79</v>
      </c>
      <c r="IJ40" s="187">
        <f>IJ39*'Données Aériens Personnel'!$F$20</f>
        <v>230.79</v>
      </c>
      <c r="IK40" s="187">
        <f>IK39*'Données Aériens Personnel'!$F$20</f>
        <v>230.79</v>
      </c>
      <c r="IL40" s="187">
        <f>IL39*'Données Aériens Personnel'!$F$20</f>
        <v>230.79</v>
      </c>
      <c r="IM40" s="187">
        <f>IM39*'Données Aériens Personnel'!$F$20</f>
        <v>230.79</v>
      </c>
      <c r="IN40" s="187">
        <f>IN39*'Données Aériens Personnel'!$F$20</f>
        <v>230.79</v>
      </c>
      <c r="IO40" s="187">
        <f>IO39*'Données Aériens Personnel'!$F$20</f>
        <v>230.79</v>
      </c>
      <c r="IP40" s="187">
        <f>IP39*'Données Aériens Personnel'!$F$20</f>
        <v>230.79</v>
      </c>
      <c r="IQ40" s="187">
        <f>IQ39*'Données Aériens Personnel'!$F$20</f>
        <v>230.79</v>
      </c>
      <c r="IR40" s="187">
        <f>IR39*'Données Aériens Personnel'!$F$20</f>
        <v>233.93</v>
      </c>
      <c r="IS40" s="187">
        <f>IS39*'Données Aériens Personnel'!$F$20</f>
        <v>233.93</v>
      </c>
      <c r="IT40" s="187">
        <f>IT39*'Données Aériens Personnel'!$F$20</f>
        <v>234.87200000000001</v>
      </c>
      <c r="IU40" s="187">
        <f>IU39*'Données Aériens Personnel'!$F$20</f>
        <v>235.18600000000001</v>
      </c>
      <c r="IV40" s="187">
        <f>IV39*'Données Aériens Personnel'!$F$20</f>
        <v>235.18600000000001</v>
      </c>
      <c r="IW40" s="187">
        <f>IW39*'Données Aériens Personnel'!$F$20</f>
        <v>235.18600000000001</v>
      </c>
      <c r="IX40" s="187">
        <f>IX39*'Données Aériens Personnel'!$F$20</f>
        <v>235.18600000000001</v>
      </c>
      <c r="IY40" s="187">
        <f>IY39*'Données Aériens Personnel'!$F$20</f>
        <v>235.18600000000001</v>
      </c>
      <c r="IZ40" s="187">
        <f>IZ39*'Données Aériens Personnel'!$F$20</f>
        <v>235.18600000000001</v>
      </c>
      <c r="JA40" s="187">
        <f>JA39*'Données Aériens Personnel'!$F$20</f>
        <v>235.18600000000001</v>
      </c>
      <c r="JB40" s="187">
        <f>JB39*'Données Aériens Personnel'!$F$20</f>
        <v>239.58199999999999</v>
      </c>
      <c r="JC40" s="187">
        <f>JC39*'Données Aériens Personnel'!$F$20</f>
        <v>239.58199999999999</v>
      </c>
      <c r="JD40" s="187">
        <f>JD39*'Données Aériens Personnel'!$F$20</f>
        <v>239.58199999999999</v>
      </c>
      <c r="JE40" s="187">
        <f>JE39*'Données Aériens Personnel'!$F$20</f>
        <v>239.58199999999999</v>
      </c>
      <c r="JF40" s="187">
        <f>JF39*'Données Aériens Personnel'!$F$20</f>
        <v>239.58199999999999</v>
      </c>
      <c r="JG40" s="187">
        <f>JG39*'Données Aériens Personnel'!$F$20</f>
        <v>239.58199999999999</v>
      </c>
      <c r="JH40" s="187">
        <f>JH39*'Données Aériens Personnel'!$F$20</f>
        <v>240.83799999999999</v>
      </c>
      <c r="JI40" s="187">
        <f>JI39*'Données Aériens Personnel'!$F$20</f>
        <v>248.374</v>
      </c>
      <c r="JJ40" s="187">
        <f>JJ39*'Données Aériens Personnel'!$F$20</f>
        <v>253.084</v>
      </c>
      <c r="JK40" s="187">
        <f>JK39*'Données Aériens Personnel'!$F$20</f>
        <v>256.85199999999998</v>
      </c>
      <c r="JL40" s="187">
        <f>JL39*'Données Aériens Personnel'!$F$20</f>
        <v>256.85199999999998</v>
      </c>
      <c r="JM40" s="187">
        <f>JM39*'Données Aériens Personnel'!$F$20</f>
        <v>256.85199999999998</v>
      </c>
      <c r="JN40" s="187">
        <f>JN39*'Données Aériens Personnel'!$F$20</f>
        <v>259.05</v>
      </c>
      <c r="JO40" s="187">
        <f>JO39*'Données Aériens Personnel'!$F$20</f>
        <v>259.36399999999998</v>
      </c>
      <c r="JP40" s="187">
        <f>JP39*'Données Aériens Personnel'!$F$20</f>
        <v>270.04000000000002</v>
      </c>
      <c r="JQ40" s="187">
        <f>JQ39*'Données Aériens Personnel'!$F$20</f>
        <v>270.04000000000002</v>
      </c>
      <c r="JR40" s="187">
        <f>JR39*'Données Aériens Personnel'!$F$20</f>
        <v>270.04000000000002</v>
      </c>
      <c r="JS40" s="187">
        <f>JS39*'Données Aériens Personnel'!$F$20</f>
        <v>270.04000000000002</v>
      </c>
      <c r="JT40" s="187">
        <f>JT39*'Données Aériens Personnel'!$F$20</f>
        <v>270.04000000000002</v>
      </c>
      <c r="JU40" s="187">
        <f>JU39*'Données Aériens Personnel'!$F$20</f>
        <v>270.04000000000002</v>
      </c>
      <c r="JV40" s="187">
        <f>JV39*'Données Aériens Personnel'!$F$20</f>
        <v>270.04000000000002</v>
      </c>
      <c r="JW40" s="187">
        <f>JW39*'Données Aériens Personnel'!$F$20</f>
        <v>276.63400000000001</v>
      </c>
      <c r="JX40" s="187">
        <f>JX39*'Données Aériens Personnel'!$F$20</f>
        <v>276.63400000000001</v>
      </c>
      <c r="JY40" s="187">
        <f>JY39*'Données Aériens Personnel'!$F$20</f>
        <v>276.63400000000001</v>
      </c>
      <c r="JZ40" s="187">
        <f>JZ39*'Données Aériens Personnel'!$F$20</f>
        <v>276.63400000000001</v>
      </c>
      <c r="KA40" s="187">
        <f>KA39*'Données Aériens Personnel'!$F$20</f>
        <v>276.94799999999998</v>
      </c>
      <c r="KB40" s="187">
        <f>KB39*'Données Aériens Personnel'!$F$20</f>
        <v>276.94799999999998</v>
      </c>
      <c r="KC40" s="187">
        <f>KC39*'Données Aériens Personnel'!$F$20</f>
        <v>286.36799999999999</v>
      </c>
      <c r="KD40" s="187">
        <f>KD39*'Données Aériens Personnel'!$F$20</f>
        <v>286.36799999999999</v>
      </c>
      <c r="KE40" s="187">
        <f>KE39*'Données Aériens Personnel'!$F$20</f>
        <v>287.62400000000002</v>
      </c>
      <c r="KF40" s="187">
        <f>KF39*'Données Aériens Personnel'!$F$20</f>
        <v>287.93799999999999</v>
      </c>
      <c r="KG40" s="187">
        <f>KG39*'Données Aériens Personnel'!$F$20</f>
        <v>293.904</v>
      </c>
      <c r="KH40" s="187">
        <f>KH39*'Données Aériens Personnel'!$F$20</f>
        <v>294.21800000000002</v>
      </c>
      <c r="KI40" s="187">
        <f>KI39*'Données Aériens Personnel'!$F$20</f>
        <v>296.73</v>
      </c>
      <c r="KJ40" s="187">
        <f>KJ39*'Données Aériens Personnel'!$F$20</f>
        <v>296.73</v>
      </c>
      <c r="KK40" s="187">
        <f>KK39*'Données Aériens Personnel'!$F$20</f>
        <v>296.73</v>
      </c>
      <c r="KL40" s="187">
        <f>KL39*'Données Aériens Personnel'!$F$20</f>
        <v>303.01</v>
      </c>
      <c r="KM40" s="187">
        <f>KM39*'Données Aériens Personnel'!$F$20</f>
        <v>306.464</v>
      </c>
      <c r="KN40" s="187">
        <f>KN39*'Données Aériens Personnel'!$F$20</f>
        <v>306.464</v>
      </c>
      <c r="KO40" s="187">
        <f>KO39*'Données Aériens Personnel'!$F$20</f>
        <v>306.464</v>
      </c>
      <c r="KP40" s="187">
        <f>KP39*'Données Aériens Personnel'!$F$20</f>
        <v>306.464</v>
      </c>
      <c r="KQ40" s="187">
        <f>KQ39*'Données Aériens Personnel'!$F$20</f>
        <v>306.464</v>
      </c>
      <c r="KR40" s="187">
        <f>KR39*'Données Aériens Personnel'!$F$20</f>
        <v>306.464</v>
      </c>
      <c r="KS40" s="187">
        <f>KS39*'Données Aériens Personnel'!$F$21</f>
        <v>260.322</v>
      </c>
      <c r="KT40" s="187">
        <f>KT39*'Données Aériens Personnel'!$F$21</f>
        <v>261.61200000000002</v>
      </c>
      <c r="KU40" s="187">
        <f>KU39*'Données Aériens Personnel'!$F$21</f>
        <v>264.70800000000003</v>
      </c>
      <c r="KV40" s="187">
        <f>KV39*'Données Aériens Personnel'!$F$21</f>
        <v>272.19</v>
      </c>
      <c r="KW40" s="187">
        <f>KW39*'Données Aériens Personnel'!$F$21</f>
        <v>277.86599999999999</v>
      </c>
      <c r="KX40" s="187">
        <f>KX39*'Données Aériens Personnel'!$F$21</f>
        <v>280.70400000000001</v>
      </c>
      <c r="KY40" s="187">
        <f>KY39*'Données Aériens Personnel'!$F$21</f>
        <v>280.70400000000001</v>
      </c>
      <c r="KZ40" s="187">
        <f>KZ39*'Données Aériens Personnel'!$F$21</f>
        <v>280.70400000000001</v>
      </c>
      <c r="LA40" s="187">
        <f>LA39*'Données Aériens Personnel'!$F$21</f>
        <v>280.70400000000001</v>
      </c>
      <c r="LB40" s="187">
        <f>LB39*'Données Aériens Personnel'!$F$21</f>
        <v>280.70400000000001</v>
      </c>
      <c r="LC40" s="187">
        <f>LC39*'Données Aériens Personnel'!$F$21</f>
        <v>280.70400000000001</v>
      </c>
      <c r="LD40" s="187">
        <f>LD39*'Données Aériens Personnel'!$F$21</f>
        <v>283.8</v>
      </c>
      <c r="LE40" s="187">
        <f>LE39*'Données Aériens Personnel'!$F$21</f>
        <v>283.8</v>
      </c>
      <c r="LF40" s="187">
        <f>LF39*'Données Aériens Personnel'!$F$21</f>
        <v>299.02199999999999</v>
      </c>
      <c r="LG40" s="187">
        <f>LG39*'Données Aériens Personnel'!$F$21</f>
        <v>299.02199999999999</v>
      </c>
      <c r="LH40" s="187">
        <f>LH39*'Données Aériens Personnel'!$F$21</f>
        <v>299.02199999999999</v>
      </c>
      <c r="LI40" s="187">
        <f>LI39*'Données Aériens Personnel'!$F$21</f>
        <v>299.02199999999999</v>
      </c>
      <c r="LJ40" s="187">
        <f>LJ39*'Données Aériens Personnel'!$F$21</f>
        <v>299.02199999999999</v>
      </c>
      <c r="LK40" s="187">
        <f>LK39*'Données Aériens Personnel'!$F$21</f>
        <v>299.02199999999999</v>
      </c>
      <c r="LL40" s="187">
        <f>LL39*'Données Aériens Personnel'!$F$21</f>
        <v>299.02199999999999</v>
      </c>
      <c r="LM40" s="187">
        <f>LM39*'Données Aériens Personnel'!$F$21</f>
        <v>308.05200000000002</v>
      </c>
      <c r="LN40" s="187">
        <f>LN39*'Données Aériens Personnel'!$F$21</f>
        <v>308.05200000000002</v>
      </c>
      <c r="LO40" s="187">
        <f>LO39*'Données Aériens Personnel'!$F$21</f>
        <v>308.05200000000002</v>
      </c>
      <c r="LP40" s="187">
        <f>LP39*'Données Aériens Personnel'!$F$21</f>
        <v>308.05200000000002</v>
      </c>
      <c r="LQ40" s="187">
        <f>LQ39*'Données Aériens Personnel'!$F$21</f>
        <v>308.05200000000002</v>
      </c>
      <c r="LR40" s="187">
        <f>LR39*'Données Aériens Personnel'!$F$21</f>
        <v>309.084</v>
      </c>
      <c r="LS40" s="187">
        <f>LS39*'Données Aériens Personnel'!$F$21</f>
        <v>309.084</v>
      </c>
      <c r="LT40" s="187">
        <f>LT39*'Données Aériens Personnel'!$F$21</f>
        <v>309.084</v>
      </c>
      <c r="LU40" s="187">
        <f>LU39*'Données Aériens Personnel'!$F$21</f>
        <v>309.084</v>
      </c>
      <c r="LV40" s="187">
        <f>LV39*'Données Aériens Personnel'!$F$21</f>
        <v>311.66399999999999</v>
      </c>
      <c r="LW40" s="187">
        <f>LW39*'Données Aériens Personnel'!$F$21</f>
        <v>314.76</v>
      </c>
      <c r="LX40" s="187">
        <f>LX39*'Données Aériens Personnel'!$F$21</f>
        <v>314.76</v>
      </c>
      <c r="LY40" s="187">
        <f>LY39*'Données Aériens Personnel'!$F$21</f>
        <v>314.76</v>
      </c>
      <c r="LZ40" s="187">
        <f>LZ39*'Données Aériens Personnel'!$F$21</f>
        <v>314.76</v>
      </c>
      <c r="MA40" s="187">
        <f>MA39*'Données Aériens Personnel'!$F$21</f>
        <v>321.98400000000004</v>
      </c>
      <c r="MB40" s="187">
        <f>MB39*'Données Aériens Personnel'!$F$21</f>
        <v>321.98400000000004</v>
      </c>
      <c r="MC40" s="187">
        <f>MC39*'Données Aériens Personnel'!$F$21</f>
        <v>327.66000000000003</v>
      </c>
      <c r="MD40" s="187">
        <f>MD39*'Données Aériens Personnel'!$F$21</f>
        <v>327.66000000000003</v>
      </c>
      <c r="ME40" s="187">
        <f>ME39*'Données Aériens Personnel'!$F$21</f>
        <v>333.33600000000001</v>
      </c>
      <c r="MF40" s="187">
        <f>MF39*'Données Aériens Personnel'!$F$21</f>
        <v>333.33600000000001</v>
      </c>
      <c r="MG40" s="187">
        <f>MG39*'Données Aériens Personnel'!$F$21</f>
        <v>333.33600000000001</v>
      </c>
      <c r="MH40" s="187">
        <f>MH39*'Données Aériens Personnel'!$F$21</f>
        <v>351.39600000000002</v>
      </c>
      <c r="MI40" s="187">
        <f>MI39*'Données Aériens Personnel'!$F$21</f>
        <v>351.39600000000002</v>
      </c>
      <c r="MJ40" s="187">
        <f>MJ39*'Données Aériens Personnel'!$F$21</f>
        <v>351.39600000000002</v>
      </c>
      <c r="MK40" s="187">
        <f>MK39*'Données Aériens Personnel'!$F$21</f>
        <v>351.39600000000002</v>
      </c>
      <c r="ML40" s="187">
        <f>ML39*'Données Aériens Personnel'!$F$21</f>
        <v>352.94400000000002</v>
      </c>
      <c r="MM40" s="187">
        <f>MM39*'Données Aériens Personnel'!$F$21</f>
        <v>355.524</v>
      </c>
      <c r="MN40" s="187">
        <f>MN39*'Données Aériens Personnel'!$F$21</f>
        <v>355.524</v>
      </c>
      <c r="MO40" s="187">
        <f>MO39*'Données Aériens Personnel'!$F$21</f>
        <v>358.10399999999998</v>
      </c>
      <c r="MP40" s="187">
        <f>MP39*'Données Aériens Personnel'!$F$21</f>
        <v>358.10399999999998</v>
      </c>
      <c r="MQ40" s="187">
        <f>MQ39*'Données Aériens Personnel'!$F$21</f>
        <v>365.07</v>
      </c>
      <c r="MR40" s="187">
        <f>MR39*'Données Aériens Personnel'!$F$21</f>
        <v>366.36</v>
      </c>
      <c r="MS40" s="187">
        <f>MS39*'Données Aériens Personnel'!$F$21</f>
        <v>375.90600000000001</v>
      </c>
      <c r="MT40" s="187">
        <f>MT39*'Données Aériens Personnel'!$F$21</f>
        <v>375.90600000000001</v>
      </c>
      <c r="MU40" s="187">
        <f>MU39*'Données Aériens Personnel'!$F$21</f>
        <v>375.90600000000001</v>
      </c>
      <c r="MV40" s="187">
        <f>MV39*'Données Aériens Personnel'!$F$21</f>
        <v>381.84000000000003</v>
      </c>
      <c r="MW40" s="187">
        <f>MW39*'Données Aériens Personnel'!$F$21</f>
        <v>382.35599999999999</v>
      </c>
      <c r="MX40" s="187">
        <f>MX39*'Données Aériens Personnel'!$F$21</f>
        <v>382.35599999999999</v>
      </c>
      <c r="MY40" s="187">
        <f>MY39*'Données Aériens Personnel'!$F$21</f>
        <v>385.19400000000002</v>
      </c>
      <c r="MZ40" s="187">
        <f>MZ39*'Données Aériens Personnel'!$F$21</f>
        <v>388.80599999999998</v>
      </c>
      <c r="NA40" s="187">
        <f>NA39*'Données Aériens Personnel'!$F$21</f>
        <v>388.80599999999998</v>
      </c>
      <c r="NB40" s="187">
        <f>NB39*'Données Aériens Personnel'!$F$21</f>
        <v>388.80599999999998</v>
      </c>
      <c r="NC40" s="187">
        <f>NC39*'Données Aériens Personnel'!$F$21</f>
        <v>399.38400000000001</v>
      </c>
      <c r="ND40" s="187">
        <f>ND39*'Données Aériens Personnel'!$F$21</f>
        <v>399.38400000000001</v>
      </c>
      <c r="NE40" s="187">
        <f>NE39*'Données Aériens Personnel'!$F$21</f>
        <v>399.38400000000001</v>
      </c>
      <c r="NF40" s="187">
        <f>NF39*'Données Aériens Personnel'!$F$21</f>
        <v>399.38400000000001</v>
      </c>
      <c r="NG40" s="187">
        <f>NG39*'Données Aériens Personnel'!$F$21</f>
        <v>399.38400000000001</v>
      </c>
      <c r="NH40" s="187">
        <f>NH39*'Données Aériens Personnel'!$F$21</f>
        <v>399.38400000000001</v>
      </c>
      <c r="NI40" s="187">
        <f>NI39*'Données Aériens Personnel'!$F$21</f>
        <v>399.38400000000001</v>
      </c>
      <c r="NJ40" s="187">
        <f>NJ39*'Données Aériens Personnel'!$F$21</f>
        <v>399.38400000000001</v>
      </c>
      <c r="NK40" s="187">
        <f>NK39*'Données Aériens Personnel'!$F$21</f>
        <v>399.38400000000001</v>
      </c>
      <c r="NL40" s="187">
        <f>NL39*'Données Aériens Personnel'!$F$21</f>
        <v>399.38400000000001</v>
      </c>
      <c r="NM40" s="187">
        <f>NM39*'Données Aériens Personnel'!$F$21</f>
        <v>399.38400000000001</v>
      </c>
      <c r="NN40" s="187">
        <f>NN39*'Données Aériens Personnel'!$F$21</f>
        <v>399.38400000000001</v>
      </c>
      <c r="NO40" s="187">
        <f>NO39*'Données Aériens Personnel'!$F$21</f>
        <v>399.38400000000001</v>
      </c>
      <c r="NP40" s="187">
        <f>NP39*'Données Aériens Personnel'!$F$21</f>
        <v>399.38400000000001</v>
      </c>
      <c r="NQ40" s="187">
        <f>NQ39*'Données Aériens Personnel'!$F$21</f>
        <v>399.38400000000001</v>
      </c>
      <c r="NR40" s="187">
        <f>NR39*'Données Aériens Personnel'!$F$21</f>
        <v>399.38400000000001</v>
      </c>
      <c r="NS40" s="187">
        <f>NS39*'Données Aériens Personnel'!$F$21</f>
        <v>399.38400000000001</v>
      </c>
      <c r="NT40" s="187">
        <f>NT39*'Données Aériens Personnel'!$F$21</f>
        <v>399.38400000000001</v>
      </c>
      <c r="NU40" s="187">
        <f>NU39*'Données Aériens Personnel'!$F$21</f>
        <v>399.38400000000001</v>
      </c>
      <c r="NV40" s="187">
        <f>NV39*'Données Aériens Personnel'!$F$21</f>
        <v>399.38400000000001</v>
      </c>
      <c r="NW40" s="187">
        <f>NW39*'Données Aériens Personnel'!$F$21</f>
        <v>399.38400000000001</v>
      </c>
      <c r="NX40" s="187">
        <f>NX39*'Données Aériens Personnel'!$F$21</f>
        <v>399.38400000000001</v>
      </c>
      <c r="NY40" s="187">
        <f>NY39*'Données Aériens Personnel'!$F$21</f>
        <v>399.38400000000001</v>
      </c>
      <c r="NZ40" s="187">
        <f>NZ39*'Données Aériens Personnel'!$F$21</f>
        <v>399.38400000000001</v>
      </c>
      <c r="OA40" s="187">
        <f>OA39*'Données Aériens Personnel'!$F$21</f>
        <v>399.38400000000001</v>
      </c>
      <c r="OB40" s="187">
        <f>OB39*'Données Aériens Personnel'!$F$21</f>
        <v>399.38400000000001</v>
      </c>
      <c r="OC40" s="187">
        <f>OC39*'Données Aériens Personnel'!$F$21</f>
        <v>399.38400000000001</v>
      </c>
      <c r="OD40" s="187">
        <f>OD39*'Données Aériens Personnel'!$F$21</f>
        <v>399.38400000000001</v>
      </c>
      <c r="OE40" s="187">
        <f>OE39*'Données Aériens Personnel'!$F$21</f>
        <v>399.38400000000001</v>
      </c>
      <c r="OF40" s="187">
        <f>OF39*'Données Aériens Personnel'!$F$21</f>
        <v>399.38400000000001</v>
      </c>
      <c r="OG40" s="187">
        <f>OG39*'Données Aériens Personnel'!$F$21</f>
        <v>399.38400000000001</v>
      </c>
      <c r="OH40" s="187">
        <f>OH39*'Données Aériens Personnel'!$F$21</f>
        <v>399.38400000000001</v>
      </c>
      <c r="OI40" s="187">
        <f>OI39*'Données Aériens Personnel'!$F$21</f>
        <v>402.48</v>
      </c>
      <c r="OJ40" s="187">
        <f>OJ39*'Données Aériens Personnel'!$F$21</f>
        <v>402.48</v>
      </c>
      <c r="OK40" s="187">
        <f>OK39*'Données Aériens Personnel'!$F$21</f>
        <v>402.48</v>
      </c>
      <c r="OL40" s="187">
        <f>OL39*'Données Aériens Personnel'!$F$21</f>
        <v>402.48</v>
      </c>
      <c r="OM40" s="187">
        <f>OM39*'Données Aériens Personnel'!$F$21</f>
        <v>412.28399999999999</v>
      </c>
      <c r="ON40" s="187">
        <f>ON39*'Données Aériens Personnel'!$F$21</f>
        <v>415.12200000000001</v>
      </c>
      <c r="OO40" s="187">
        <f>OO39*'Données Aériens Personnel'!$F$21</f>
        <v>415.12200000000001</v>
      </c>
      <c r="OP40" s="187">
        <f>OP39*'Données Aériens Personnel'!$F$21</f>
        <v>416.67</v>
      </c>
      <c r="OQ40" s="187">
        <f>OQ39*'Données Aériens Personnel'!$F$21</f>
        <v>422.60399999999998</v>
      </c>
      <c r="OR40" s="187">
        <f>OR39*'Données Aériens Personnel'!$F$21</f>
        <v>422.60399999999998</v>
      </c>
      <c r="OS40" s="187">
        <f>OS39*'Données Aériens Personnel'!$F$21</f>
        <v>422.60399999999998</v>
      </c>
      <c r="OT40" s="187">
        <f>OT39*'Données Aériens Personnel'!$F$21</f>
        <v>422.60399999999998</v>
      </c>
      <c r="OU40" s="187">
        <f>OU39*'Données Aériens Personnel'!$F$21</f>
        <v>422.60399999999998</v>
      </c>
      <c r="OV40" s="187">
        <f>OV39*'Données Aériens Personnel'!$F$21</f>
        <v>422.60399999999998</v>
      </c>
      <c r="OW40" s="187">
        <f>OW39*'Données Aériens Personnel'!$F$21</f>
        <v>422.60399999999998</v>
      </c>
      <c r="OX40" s="187">
        <f>OX39*'Données Aériens Personnel'!$F$21</f>
        <v>431.11799999999999</v>
      </c>
      <c r="OY40" s="187">
        <f>OY39*'Données Aériens Personnel'!$F$21</f>
        <v>431.11799999999999</v>
      </c>
      <c r="OZ40" s="187">
        <f>OZ39*'Données Aériens Personnel'!$F$21</f>
        <v>431.11799999999999</v>
      </c>
      <c r="PA40" s="187">
        <f>PA39*'Données Aériens Personnel'!$F$21</f>
        <v>431.11799999999999</v>
      </c>
      <c r="PB40" s="187">
        <f>PB39*'Données Aériens Personnel'!$F$21</f>
        <v>431.11799999999999</v>
      </c>
      <c r="PC40" s="187">
        <f>PC39*'Données Aériens Personnel'!$F$21</f>
        <v>431.11799999999999</v>
      </c>
      <c r="PD40" s="187">
        <f>PD39*'Données Aériens Personnel'!$F$21</f>
        <v>431.11799999999999</v>
      </c>
      <c r="PE40" s="187">
        <f>PE39*'Données Aériens Personnel'!$F$21</f>
        <v>431.11799999999999</v>
      </c>
      <c r="PF40" s="187">
        <f>PF39*'Données Aériens Personnel'!$F$21</f>
        <v>446.59800000000001</v>
      </c>
      <c r="PG40" s="187">
        <f>PG39*'Données Aériens Personnel'!$F$21</f>
        <v>446.59800000000001</v>
      </c>
      <c r="PH40" s="187">
        <f>PH39*'Données Aériens Personnel'!$F$21</f>
        <v>450.98400000000004</v>
      </c>
      <c r="PI40" s="187">
        <f>PI39*'Données Aériens Personnel'!$F$21</f>
        <v>453.30600000000004</v>
      </c>
      <c r="PJ40" s="187">
        <f>PJ39*'Données Aériens Personnel'!$F$21</f>
        <v>453.30600000000004</v>
      </c>
      <c r="PK40" s="187">
        <f>PK39*'Données Aériens Personnel'!$F$21</f>
        <v>453.30600000000004</v>
      </c>
      <c r="PL40" s="187">
        <f>PL39*'Données Aériens Personnel'!$F$21</f>
        <v>453.30600000000004</v>
      </c>
      <c r="PM40" s="187">
        <f>PM39*'Données Aériens Personnel'!$F$21</f>
        <v>468.52800000000002</v>
      </c>
      <c r="PN40" s="187">
        <f>PN39*'Données Aériens Personnel'!$F$21</f>
        <v>468.52800000000002</v>
      </c>
      <c r="PO40" s="187">
        <f>PO39*'Données Aériens Personnel'!$F$21</f>
        <v>478.33199999999999</v>
      </c>
      <c r="PP40" s="187">
        <f>PP39*'Données Aériens Personnel'!$F$21</f>
        <v>485.04</v>
      </c>
      <c r="PQ40" s="187">
        <f>PQ39*'Données Aériens Personnel'!$F$21</f>
        <v>485.04</v>
      </c>
      <c r="PR40" s="187">
        <f>PR39*'Données Aériens Personnel'!$F$21</f>
        <v>485.04</v>
      </c>
      <c r="PS40" s="187">
        <f>PS39*'Données Aériens Personnel'!$F$21</f>
        <v>485.04</v>
      </c>
      <c r="PT40" s="187">
        <f>PT39*'Données Aériens Personnel'!$F$21</f>
        <v>485.04</v>
      </c>
      <c r="PU40" s="187">
        <f>PU39*'Données Aériens Personnel'!$F$21</f>
        <v>485.04</v>
      </c>
      <c r="PV40" s="187">
        <f>PV39*'Données Aériens Personnel'!$F$21</f>
        <v>485.04</v>
      </c>
      <c r="PW40" s="187">
        <f>PW39*'Données Aériens Personnel'!$F$21</f>
        <v>485.04</v>
      </c>
      <c r="PX40" s="187">
        <f>PX39*'Données Aériens Personnel'!$F$21</f>
        <v>485.04</v>
      </c>
      <c r="PY40" s="187">
        <f>PY39*'Données Aériens Personnel'!$F$21</f>
        <v>492.26400000000001</v>
      </c>
      <c r="PZ40" s="187">
        <f>PZ39*'Données Aériens Personnel'!$F$21</f>
        <v>495.36</v>
      </c>
      <c r="QA40" s="187">
        <f>QA39*'Données Aériens Personnel'!$F$21</f>
        <v>498.97200000000004</v>
      </c>
      <c r="QB40" s="187">
        <f>QB39*'Données Aériens Personnel'!$F$21</f>
        <v>507.74400000000003</v>
      </c>
      <c r="QC40" s="187">
        <f>QC39*'Données Aériens Personnel'!$F$21</f>
        <v>510.58199999999999</v>
      </c>
      <c r="QD40" s="187">
        <f>QD39*'Données Aériens Personnel'!$F$21</f>
        <v>514.96799999999996</v>
      </c>
      <c r="QE40" s="187">
        <f>QE39*'Données Aériens Personnel'!$F$21</f>
        <v>514.96799999999996</v>
      </c>
      <c r="QF40" s="187">
        <f>'Données Aériens Personnel'!$F$22*QF39</f>
        <v>419.46299999999997</v>
      </c>
      <c r="QG40" s="187">
        <f>'Données Aériens Personnel'!$F$22*QG39</f>
        <v>420.29899999999998</v>
      </c>
      <c r="QH40" s="187">
        <f>'Données Aériens Personnel'!$F$22*QH39</f>
        <v>421.13499999999999</v>
      </c>
      <c r="QI40" s="187">
        <f>'Données Aériens Personnel'!$F$22*QI39</f>
        <v>430.95799999999997</v>
      </c>
      <c r="QJ40" s="187">
        <f>'Données Aériens Personnel'!$F$22*QJ39</f>
        <v>430.95799999999997</v>
      </c>
      <c r="QK40" s="187">
        <f>'Données Aériens Personnel'!$F$22*QK39</f>
        <v>430.95799999999997</v>
      </c>
      <c r="QL40" s="187">
        <f>'Données Aériens Personnel'!$F$22*QL39</f>
        <v>433.88399999999996</v>
      </c>
      <c r="QM40" s="187">
        <f>'Données Aériens Personnel'!$F$22*QM39</f>
        <v>433.88399999999996</v>
      </c>
      <c r="QN40" s="187">
        <f>'Données Aériens Personnel'!$F$22*QN39</f>
        <v>433.88399999999996</v>
      </c>
      <c r="QO40" s="187">
        <f>'Données Aériens Personnel'!$F$22*QO39</f>
        <v>433.88399999999996</v>
      </c>
      <c r="QP40" s="187">
        <f>'Données Aériens Personnel'!$F$22*QP39</f>
        <v>433.88399999999996</v>
      </c>
      <c r="QQ40" s="187">
        <f>'Données Aériens Personnel'!$F$22*QQ39</f>
        <v>433.88399999999996</v>
      </c>
      <c r="QR40" s="187">
        <f>'Données Aériens Personnel'!$F$22*QR39</f>
        <v>433.88399999999996</v>
      </c>
      <c r="QS40" s="187">
        <f>'Données Aériens Personnel'!$F$22*QS39</f>
        <v>433.88399999999996</v>
      </c>
      <c r="QT40" s="187">
        <f>'Données Aériens Personnel'!$F$22*QT39</f>
        <v>433.88399999999996</v>
      </c>
      <c r="QU40" s="187">
        <f>'Données Aériens Personnel'!$F$22*QU39</f>
        <v>433.88399999999996</v>
      </c>
      <c r="QV40" s="187">
        <f>'Données Aériens Personnel'!$F$22*QV39</f>
        <v>433.88399999999996</v>
      </c>
      <c r="QW40" s="187">
        <f>'Données Aériens Personnel'!$F$22*QW39</f>
        <v>433.88399999999996</v>
      </c>
      <c r="QX40" s="187">
        <f>'Données Aériens Personnel'!$F$22*QX39</f>
        <v>433.88399999999996</v>
      </c>
      <c r="QY40" s="187">
        <f>'Données Aériens Personnel'!$F$22*QY39</f>
        <v>433.88399999999996</v>
      </c>
      <c r="QZ40" s="187">
        <f>'Données Aériens Personnel'!$F$22*QZ39</f>
        <v>438.48199999999997</v>
      </c>
      <c r="RA40" s="187">
        <f>'Données Aériens Personnel'!$F$22*RA39</f>
        <v>441.82599999999996</v>
      </c>
      <c r="RB40" s="187">
        <f>'Données Aériens Personnel'!$F$22*RB39</f>
        <v>441.82599999999996</v>
      </c>
      <c r="RC40" s="187">
        <f>'Données Aériens Personnel'!$F$22*RC39</f>
        <v>441.82599999999996</v>
      </c>
      <c r="RD40" s="187">
        <f>'Données Aériens Personnel'!$F$22*RD39</f>
        <v>441.82599999999996</v>
      </c>
      <c r="RE40" s="187">
        <f>'Données Aériens Personnel'!$F$22*RE39</f>
        <v>441.82599999999996</v>
      </c>
      <c r="RF40" s="187">
        <f>'Données Aériens Personnel'!$F$22*RF39</f>
        <v>441.82599999999996</v>
      </c>
      <c r="RG40" s="187">
        <f>'Données Aériens Personnel'!$F$22*RG39</f>
        <v>441.82599999999996</v>
      </c>
      <c r="RH40" s="187">
        <f>'Données Aériens Personnel'!$F$22*RH39</f>
        <v>441.82599999999996</v>
      </c>
      <c r="RI40" s="187">
        <f>'Données Aériens Personnel'!$F$22*RI39</f>
        <v>441.82599999999996</v>
      </c>
      <c r="RJ40" s="187">
        <f>'Données Aériens Personnel'!$F$22*RJ39</f>
        <v>441.82599999999996</v>
      </c>
      <c r="RK40" s="187">
        <f>'Données Aériens Personnel'!$F$22*RK39</f>
        <v>441.82599999999996</v>
      </c>
      <c r="RL40" s="187">
        <f>'Données Aériens Personnel'!$F$22*RL39</f>
        <v>441.82599999999996</v>
      </c>
      <c r="RM40" s="187">
        <f>'Données Aériens Personnel'!$F$22*RM39</f>
        <v>441.82599999999996</v>
      </c>
      <c r="RN40" s="187">
        <f>'Données Aériens Personnel'!$F$22*RN39</f>
        <v>441.82599999999996</v>
      </c>
      <c r="RO40" s="187">
        <f>'Données Aériens Personnel'!$F$22*RO39</f>
        <v>441.82599999999996</v>
      </c>
      <c r="RP40" s="187">
        <f>'Données Aériens Personnel'!$F$22*RP39</f>
        <v>441.82599999999996</v>
      </c>
      <c r="RQ40" s="187">
        <f>'Données Aériens Personnel'!$F$22*RQ39</f>
        <v>441.82599999999996</v>
      </c>
      <c r="RR40" s="187">
        <f>'Données Aériens Personnel'!$F$22*RR39</f>
        <v>480.7</v>
      </c>
      <c r="RS40" s="187">
        <f>'Données Aériens Personnel'!$F$22*RS39</f>
        <v>480.7</v>
      </c>
      <c r="RT40" s="187">
        <f>'Données Aériens Personnel'!$F$22*RT39</f>
        <v>499.928</v>
      </c>
      <c r="RU40" s="187">
        <f>'Données Aériens Personnel'!$F$22*RU39</f>
        <v>621.56600000000003</v>
      </c>
      <c r="RV40" s="187">
        <f>'Données Aériens Personnel'!$F$22*RV39</f>
        <v>621.56600000000003</v>
      </c>
      <c r="RW40" s="187">
        <f>'Données Aériens Personnel'!$F$22*RW39</f>
        <v>621.56600000000003</v>
      </c>
      <c r="RX40" s="187">
        <f>'Données Aériens Personnel'!$F$23*RX39</f>
        <v>749.34</v>
      </c>
      <c r="RY40" s="187">
        <f>'Données Aériens Personnel'!$F$23*RY39</f>
        <v>814.2</v>
      </c>
      <c r="RZ40" s="187">
        <f>'Données Aériens Personnel'!$F$23*RZ39</f>
        <v>847.55000000000007</v>
      </c>
      <c r="SA40" s="187">
        <f>'Données Aériens Personnel'!$F$23*SA39</f>
        <v>847.55000000000007</v>
      </c>
      <c r="SB40" s="187">
        <f>'Données Aériens Personnel'!$F$23*SB39</f>
        <v>888.95</v>
      </c>
      <c r="SC40" s="187">
        <f>'Données Aériens Personnel'!$F$23*SC39</f>
        <v>888.95</v>
      </c>
      <c r="SD40" s="187">
        <f>'Données Aériens Personnel'!$F$23*SD39</f>
        <v>888.95</v>
      </c>
      <c r="SE40" s="187">
        <f>'Données Aériens Personnel'!$F$23*SE39</f>
        <v>888.95</v>
      </c>
      <c r="SF40" s="187">
        <f>'Données Aériens Personnel'!$F$23*SF39</f>
        <v>888.95</v>
      </c>
      <c r="SG40" s="187">
        <f>'Données Aériens Personnel'!$F$23*SG39</f>
        <v>888.95</v>
      </c>
      <c r="SH40" s="187">
        <f>'Données Aériens Personnel'!$F$23*SH39</f>
        <v>888.95</v>
      </c>
      <c r="SI40" s="187">
        <f>'Données Aériens Personnel'!$F$23*SI39</f>
        <v>888.95</v>
      </c>
      <c r="SJ40" s="187">
        <f>'Données Aériens Personnel'!$F$23*SJ39</f>
        <v>888.95</v>
      </c>
      <c r="SK40" s="187">
        <f>'Données Aériens Personnel'!$F$24*SK39</f>
        <v>1269.4449999999999</v>
      </c>
      <c r="SL40" s="187">
        <f>'Données Aériens Personnel'!$F$25*SL39</f>
        <v>1162.0530000000001</v>
      </c>
      <c r="SM40" s="187">
        <f>'Données Aériens Personnel'!$F$25*SM39</f>
        <v>1247.9080000000001</v>
      </c>
      <c r="SN40" s="187">
        <f>'Données Aériens Personnel'!$F$25*SN39</f>
        <v>1301.4280000000001</v>
      </c>
      <c r="SO40" s="187">
        <f>'Données Aériens Personnel'!$F$25*SO39</f>
        <v>1301.4280000000001</v>
      </c>
      <c r="SP40" s="187">
        <f>'Données Aériens Personnel'!$F$25*SP39</f>
        <v>1301.4280000000001</v>
      </c>
      <c r="SQ40" s="187">
        <f>'Données Aériens Personnel'!$F$25*SQ39</f>
        <v>1301.4280000000001</v>
      </c>
      <c r="SR40" s="187">
        <f>'Données Aériens Personnel'!$F$25*SR39</f>
        <v>1301.4280000000001</v>
      </c>
      <c r="SS40" s="187">
        <f>'Données Aériens Personnel'!$F$25*SS39</f>
        <v>1301.4280000000001</v>
      </c>
      <c r="ST40" s="187">
        <f>'Données Aériens Personnel'!$F$25*ST39</f>
        <v>1301.4280000000001</v>
      </c>
      <c r="SU40" s="187">
        <f>'Données Aériens Personnel'!$F$25*SU39</f>
        <v>1301.4280000000001</v>
      </c>
      <c r="SV40" s="187">
        <f>'Données Aériens Personnel'!$F$25*SV39</f>
        <v>1301.4280000000001</v>
      </c>
      <c r="SW40" s="187">
        <f>'Données Aériens Personnel'!$F$25*SW39</f>
        <v>1301.4280000000001</v>
      </c>
      <c r="SX40" s="187">
        <f>'Données Aériens Personnel'!$F$25*SX39</f>
        <v>1302.7660000000001</v>
      </c>
      <c r="SY40" s="187">
        <f>'Données Aériens Personnel'!$F$25*SY39</f>
        <v>1302.7660000000001</v>
      </c>
      <c r="SZ40" s="187">
        <f>'Données Aériens Personnel'!$F$26*SZ39</f>
        <v>1277.4079999999999</v>
      </c>
      <c r="TA40" s="187">
        <f>'Données Aériens Personnel'!$F$26*TA39</f>
        <v>1311.684</v>
      </c>
      <c r="TB40" s="187">
        <f>'Données Aériens Personnel'!$F$26*TB39</f>
        <v>1311.684</v>
      </c>
      <c r="TC40" s="187">
        <f>'Données Aériens Personnel'!$F$26*TC39</f>
        <v>1318.163</v>
      </c>
      <c r="TD40" s="187">
        <f>'Données Aériens Personnel'!$F$26*TD39</f>
        <v>1323.597</v>
      </c>
      <c r="TE40" s="187">
        <f>'Données Aériens Personnel'!$F$26*TE39</f>
        <v>1350.3489999999999</v>
      </c>
      <c r="TF40" s="187">
        <f>'Données Aériens Personnel'!$F$26*TF39</f>
        <v>1353.4839999999999</v>
      </c>
      <c r="TG40" s="187">
        <f>'Données Aériens Personnel'!$F$26*TG39</f>
        <v>1385.0429999999999</v>
      </c>
      <c r="TH40" s="187">
        <f>'Données Aériens Personnel'!$F$26*TH39</f>
        <v>1385.0429999999999</v>
      </c>
      <c r="TI40" s="187">
        <f>'Données Aériens Personnel'!$F$26*TI39</f>
        <v>1385.461</v>
      </c>
      <c r="TJ40" s="187">
        <f>'Données Aériens Personnel'!$F$26*TJ39</f>
        <v>1392.9849999999999</v>
      </c>
      <c r="TK40" s="187">
        <f>'Données Aériens Personnel'!$F$26*TK39</f>
        <v>1414.9299999999998</v>
      </c>
      <c r="TL40" s="187">
        <f>'Données Aériens Personnel'!$F$26*TL39</f>
        <v>1440.01</v>
      </c>
      <c r="TM40" s="187">
        <f>'Données Aériens Personnel'!$F$26*TM39</f>
        <v>1440.01</v>
      </c>
      <c r="TN40" s="187">
        <f>'Données Aériens Personnel'!$F$26*TN39</f>
        <v>1442.1</v>
      </c>
      <c r="TO40" s="187">
        <f>'Données Aériens Personnel'!$F$26*TO39</f>
        <v>1460.9099999999999</v>
      </c>
      <c r="TP40" s="187">
        <f>'Données Aériens Personnel'!$F$26*TP39</f>
        <v>1460.9099999999999</v>
      </c>
      <c r="TQ40" s="187">
        <f>'Données Aériens Personnel'!$F$26*TQ39</f>
        <v>1460.9099999999999</v>
      </c>
      <c r="TR40" s="187">
        <f>'Données Aériens Personnel'!$F$26*TR39</f>
        <v>1460.9099999999999</v>
      </c>
      <c r="TS40" s="187">
        <f>'Données Aériens Personnel'!$F$26*TS39</f>
        <v>1460.9099999999999</v>
      </c>
      <c r="TT40" s="187">
        <f>'Données Aériens Personnel'!$F$26*TT39</f>
        <v>1460.9099999999999</v>
      </c>
      <c r="TU40" s="187">
        <f>'Données Aériens Personnel'!$F$27*TU39</f>
        <v>1463.627</v>
      </c>
      <c r="TV40" s="187">
        <f>'Données Aériens Personnel'!$F$27*TV39</f>
        <v>1471.1509999999998</v>
      </c>
      <c r="TW40" s="187">
        <f>'Données Aériens Personnel'!$F$27*TW39</f>
        <v>1487.453</v>
      </c>
      <c r="TX40" s="187">
        <f>'Données Aériens Personnel'!$F$27*TX39</f>
        <v>1487.453</v>
      </c>
      <c r="TY40" s="187">
        <f>'Données Aériens Personnel'!$F$27*TY39</f>
        <v>1487.453</v>
      </c>
      <c r="TZ40" s="187">
        <f>'Données Aériens Personnel'!$F$27*TZ39</f>
        <v>1498.53</v>
      </c>
      <c r="UA40" s="187">
        <f>'Données Aériens Personnel'!$F$27*UA39</f>
        <v>1514.2049999999999</v>
      </c>
      <c r="UB40" s="187">
        <f>'Données Aériens Personnel'!$F$27*UB39</f>
        <v>1514.2049999999999</v>
      </c>
      <c r="UC40" s="187">
        <f>'Données Aériens Personnel'!$F$27*UC39</f>
        <v>1563.9469999999999</v>
      </c>
      <c r="UD40" s="187">
        <f>'Données Aériens Personnel'!$F$27*UD39</f>
        <v>1563.9469999999999</v>
      </c>
      <c r="UE40" s="187">
        <f>'Données Aériens Personnel'!$F$27*UE39</f>
        <v>1573.3519999999999</v>
      </c>
      <c r="UF40" s="187">
        <f>'Données Aériens Personnel'!$F$27*UF39</f>
        <v>1592.998</v>
      </c>
      <c r="UG40" s="187">
        <f>'Données Aériens Personnel'!$F$27*UG39</f>
        <v>1602.403</v>
      </c>
      <c r="UH40" s="187">
        <f>'Données Aériens Personnel'!$F$28*UH39</f>
        <v>1873.1200000000001</v>
      </c>
      <c r="UI40" s="187">
        <f>'Données Aériens Personnel'!$F$28*UI39</f>
        <v>1887.38</v>
      </c>
      <c r="UJ40" s="187">
        <f>'Données Aériens Personnel'!$F$28*UJ39</f>
        <v>1892.21</v>
      </c>
      <c r="UK40" s="187">
        <f>'Données Aériens Personnel'!$F$28*UK39</f>
        <v>1903.48</v>
      </c>
      <c r="UL40" s="187">
        <f>'Données Aériens Personnel'!$F$28*UL39</f>
        <v>1912.45</v>
      </c>
      <c r="UM40" s="187">
        <f>'Données Aériens Personnel'!$F$28*UM39</f>
        <v>1912.45</v>
      </c>
      <c r="UN40" s="187">
        <f>'Données Aériens Personnel'!$F$28*UN39</f>
        <v>1912.45</v>
      </c>
      <c r="UO40" s="187">
        <f>'Données Aériens Personnel'!$F$28*UO39</f>
        <v>1912.45</v>
      </c>
      <c r="UP40" s="187">
        <f>'Données Aériens Personnel'!$F$28*UP39</f>
        <v>1912.45</v>
      </c>
      <c r="UQ40" s="187">
        <f>'Données Aériens Personnel'!$F$28*UQ39</f>
        <v>1912.45</v>
      </c>
      <c r="UR40" s="187">
        <f>'Données Aériens Personnel'!$F$28*UR39</f>
        <v>1912.45</v>
      </c>
      <c r="US40" s="187">
        <f>'Données Aériens Personnel'!$F$28*US39</f>
        <v>1927.63</v>
      </c>
      <c r="UT40" s="187">
        <f>'Données Aériens Personnel'!$F$28*UT39</f>
        <v>1934.3000000000002</v>
      </c>
      <c r="UU40" s="187">
        <f>'Données Aériens Personnel'!$F$28*UU39</f>
        <v>1960.52</v>
      </c>
      <c r="UV40" s="187">
        <f>'Données Aériens Personnel'!$F$28*UV39</f>
        <v>1960.52</v>
      </c>
      <c r="UW40" s="187">
        <f>'Données Aériens Personnel'!$F$28*UW39</f>
        <v>1962.13</v>
      </c>
      <c r="UX40" s="187">
        <f>'Données Aériens Personnel'!$F$28*UX39</f>
        <v>1962.13</v>
      </c>
      <c r="UY40" s="187">
        <f>'Données Aériens Personnel'!$F$28*UY39</f>
        <v>1978.92</v>
      </c>
      <c r="UZ40" s="187">
        <f>'Données Aériens Personnel'!$F$28*UZ39</f>
        <v>1986.97</v>
      </c>
      <c r="VA40" s="187">
        <f>'Données Aériens Personnel'!$F$28*VA39</f>
        <v>1989.5</v>
      </c>
      <c r="VB40" s="187">
        <f>'Données Aériens Personnel'!$F$28*VB39</f>
        <v>1989.5</v>
      </c>
      <c r="VC40" s="187">
        <f>'Données Aériens Personnel'!$F$28*VC39</f>
        <v>2016.64</v>
      </c>
      <c r="VD40" s="187">
        <f>'Données Aériens Personnel'!$F$28*VD39</f>
        <v>2016.64</v>
      </c>
      <c r="VE40" s="187">
        <f>'Données Aériens Personnel'!$F$28*VE39</f>
        <v>2020.0900000000001</v>
      </c>
      <c r="VF40" s="187">
        <f>'Données Aériens Personnel'!$F$28*VF39</f>
        <v>2061.0300000000002</v>
      </c>
      <c r="VG40" s="187">
        <f>'Données Aériens Personnel'!$F$28*VG39</f>
        <v>2062.64</v>
      </c>
      <c r="VH40" s="187">
        <f>'Données Aériens Personnel'!$F$28*VH39</f>
        <v>2062.64</v>
      </c>
      <c r="VI40" s="187">
        <f>'Données Aériens Personnel'!$F$28*VI39</f>
        <v>2067.2400000000002</v>
      </c>
      <c r="VJ40" s="187">
        <f>'Données Aériens Personnel'!$F$29*VJ39</f>
        <v>2015.6970000000001</v>
      </c>
      <c r="VK40" s="187">
        <f>'Données Aériens Personnel'!$F$29*VK39</f>
        <v>2017.258</v>
      </c>
      <c r="VL40" s="187">
        <f>'Données Aériens Personnel'!$F$29*VL39</f>
        <v>2023.7250000000001</v>
      </c>
      <c r="VM40" s="187">
        <f>'Données Aériens Personnel'!$F$29*VM39</f>
        <v>2023.7250000000001</v>
      </c>
      <c r="VN40" s="187">
        <f>'Données Aériens Personnel'!$F$29*VN39</f>
        <v>2028.854</v>
      </c>
      <c r="VO40" s="187">
        <f>'Données Aériens Personnel'!$F$29*VO39</f>
        <v>2043.126</v>
      </c>
      <c r="VP40" s="187">
        <f>'Données Aériens Personnel'!$F$29*VP39</f>
        <v>2066.0950000000003</v>
      </c>
      <c r="VQ40" s="187">
        <f>'Données Aériens Personnel'!$F$29*VQ39</f>
        <v>2072.3389999999999</v>
      </c>
      <c r="VR40" s="187">
        <f>'Données Aériens Personnel'!$F$29*VR39</f>
        <v>2082.8200000000002</v>
      </c>
      <c r="VS40" s="187">
        <f>'Données Aériens Personnel'!$F$29*VS39</f>
        <v>2082.8200000000002</v>
      </c>
      <c r="VT40" s="187">
        <f>'Données Aériens Personnel'!$F$29*VT39</f>
        <v>2084.1579999999999</v>
      </c>
      <c r="VU40" s="187">
        <f>'Données Aériens Personnel'!$F$29*VU39</f>
        <v>2084.1579999999999</v>
      </c>
      <c r="VV40" s="187">
        <f>'Données Aériens Personnel'!$F$29*VV39</f>
        <v>2084.1579999999999</v>
      </c>
      <c r="VW40" s="187">
        <f>'Données Aériens Personnel'!$F$29*VW39</f>
        <v>2084.1579999999999</v>
      </c>
      <c r="VX40" s="187">
        <f>'Données Aériens Personnel'!$F$29*VX39</f>
        <v>2084.1579999999999</v>
      </c>
      <c r="VY40" s="187">
        <f>'Données Aériens Personnel'!$F$29*VY39</f>
        <v>2084.1579999999999</v>
      </c>
      <c r="VZ40" s="187">
        <f>'Données Aériens Personnel'!$F$29*VZ39</f>
        <v>2084.1579999999999</v>
      </c>
      <c r="WA40" s="187">
        <f>'Données Aériens Personnel'!$F$29*WA39</f>
        <v>2084.1579999999999</v>
      </c>
      <c r="WB40" s="187">
        <f>'Données Aériens Personnel'!$F$29*WB39</f>
        <v>2084.1579999999999</v>
      </c>
      <c r="WC40" s="187">
        <f>'Données Aériens Personnel'!$F$29*WC39</f>
        <v>2098.8760000000002</v>
      </c>
      <c r="WD40" s="187">
        <f>'Données Aériens Personnel'!$F$29*WD39</f>
        <v>2098.8760000000002</v>
      </c>
      <c r="WE40" s="187">
        <f>'Données Aériens Personnel'!$F$29*WE39</f>
        <v>2121.6219999999998</v>
      </c>
      <c r="WF40" s="187">
        <f>'Données Aériens Personnel'!$F$29*WF39</f>
        <v>2121.6219999999998</v>
      </c>
      <c r="WG40" s="187">
        <f>'Données Aériens Personnel'!$F$29*WG39</f>
        <v>2123.8519999999999</v>
      </c>
      <c r="WH40" s="187">
        <f>'Données Aériens Personnel'!$F$29*WH39</f>
        <v>2144.3679999999999</v>
      </c>
      <c r="WI40" s="187">
        <f>'Données Aériens Personnel'!$F$29*WI39</f>
        <v>2148.828</v>
      </c>
      <c r="WJ40" s="187">
        <f>'Données Aériens Personnel'!$F$29*WJ39</f>
        <v>2148.828</v>
      </c>
      <c r="WK40" s="187">
        <f>'Données Aériens Personnel'!$F$29*WK39</f>
        <v>2148.828</v>
      </c>
      <c r="WL40" s="187">
        <f>'Données Aériens Personnel'!$F$29*WL39</f>
        <v>2169.567</v>
      </c>
      <c r="WM40" s="187">
        <f>'Données Aériens Personnel'!$F$29*WM39</f>
        <v>2169.567</v>
      </c>
      <c r="WN40" s="187">
        <f>'Données Aériens Personnel'!$F$29*WN39</f>
        <v>2180.7170000000001</v>
      </c>
      <c r="WO40" s="187">
        <f>'Données Aériens Personnel'!$F$29*WO39</f>
        <v>2196.9960000000001</v>
      </c>
      <c r="WP40" s="187">
        <f>'Données Aériens Personnel'!$F$29*WP39</f>
        <v>2204.355</v>
      </c>
      <c r="WQ40" s="187">
        <f>'Données Aériens Personnel'!$F$29*WQ39</f>
        <v>2204.355</v>
      </c>
      <c r="WR40" s="187">
        <f>'Données Aériens Personnel'!$F$29*WR39</f>
        <v>2204.355</v>
      </c>
      <c r="WS40" s="187">
        <f>'Données Aériens Personnel'!$F$29*WS39</f>
        <v>2209.038</v>
      </c>
      <c r="WT40" s="187">
        <f>'Données Aériens Personnel'!$F$29*WT39</f>
        <v>2209.7069999999999</v>
      </c>
      <c r="WU40" s="187">
        <f>'Données Aériens Personnel'!$F$29*WU39</f>
        <v>2209.7069999999999</v>
      </c>
      <c r="WV40" s="187">
        <f>'Données Aériens Personnel'!$F$29*WV39</f>
        <v>2209.7069999999999</v>
      </c>
      <c r="WW40" s="187">
        <f>'Données Aériens Personnel'!$F$29*WW39</f>
        <v>2209.7069999999999</v>
      </c>
      <c r="WX40" s="187">
        <f>'Données Aériens Personnel'!$F$29*WX39</f>
        <v>2209.7069999999999</v>
      </c>
      <c r="WY40" s="187">
        <f>'Données Aériens Personnel'!$F$29*WY39</f>
        <v>2209.7069999999999</v>
      </c>
      <c r="WZ40" s="187">
        <f>'Données Aériens Personnel'!$F$29*WZ39</f>
        <v>2209.7069999999999</v>
      </c>
      <c r="XA40" s="187">
        <f>'Données Aériens Personnel'!$F$29*XA39</f>
        <v>2209.7069999999999</v>
      </c>
      <c r="XB40" s="187">
        <f>'Données Aériens Personnel'!$F$30*XB39</f>
        <v>2240.2579999999998</v>
      </c>
      <c r="XC40" s="187">
        <f>'Données Aériens Personnel'!$F$30*XC39</f>
        <v>2249.1779999999999</v>
      </c>
      <c r="XD40" s="187">
        <f>'Données Aériens Personnel'!$F$30*XD39</f>
        <v>2287.3110000000001</v>
      </c>
      <c r="XE40" s="187">
        <f>'Données Aériens Personnel'!$F$30*XE39</f>
        <v>2302.9209999999998</v>
      </c>
      <c r="XF40" s="187">
        <f>'Données Aériens Personnel'!$F$30*XF39</f>
        <v>2307.8270000000002</v>
      </c>
      <c r="XG40" s="187">
        <f>'Données Aériens Personnel'!$F$30*XG39</f>
        <v>3131.8119999999999</v>
      </c>
      <c r="XH40" s="187">
        <f>'Données Aériens Personnel'!$F$30*XH39</f>
        <v>3131.8119999999999</v>
      </c>
      <c r="XI40" s="187">
        <f>'Données Aériens Personnel'!$F$30*XI39</f>
        <v>3563.9859999999999</v>
      </c>
      <c r="XJ40" s="187">
        <f>'Données Aériens Personnel'!$F$30*XJ39</f>
        <v>3766.0239999999999</v>
      </c>
      <c r="XK40" s="187">
        <f>'Données Aériens Personnel'!$F$30*XK39</f>
        <v>3766.0239999999999</v>
      </c>
      <c r="XL40" s="187">
        <f>'Données Aériens Personnel'!$F$30*XL39</f>
        <v>3783.1950000000002</v>
      </c>
      <c r="XM40" s="187">
        <f>'Données Aériens Personnel'!$F$30*XM39</f>
        <v>4151.3680000000004</v>
      </c>
      <c r="ZL40" s="182" t="str">
        <f t="shared" si="1"/>
        <v>BOGOTA -LYON</v>
      </c>
      <c r="ZM40" s="183" t="s">
        <v>532</v>
      </c>
      <c r="ZN40" s="182" t="s">
        <v>517</v>
      </c>
      <c r="ZO40" s="182">
        <v>8783</v>
      </c>
      <c r="ZP40" s="198">
        <v>2020.0900000000001</v>
      </c>
      <c r="ZQ40" s="185"/>
      <c r="ZR40" s="185"/>
      <c r="ZS40" s="185"/>
      <c r="ZT40" s="185"/>
    </row>
    <row r="41" spans="1:696" s="175" customFormat="1" ht="28.8">
      <c r="D41" s="742"/>
      <c r="E41" s="188" t="s">
        <v>342</v>
      </c>
      <c r="F41" s="188">
        <f>SUM(F40:XM40)*0.001</f>
        <v>394.75203300000015</v>
      </c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  <c r="EE41" s="150"/>
      <c r="EF41" s="150"/>
      <c r="EG41" s="150"/>
      <c r="EH41" s="150"/>
      <c r="EI41" s="150"/>
      <c r="EJ41" s="150"/>
      <c r="EK41" s="150"/>
      <c r="EL41" s="150"/>
      <c r="EM41" s="150"/>
      <c r="EN41" s="150"/>
      <c r="EO41" s="150"/>
      <c r="EP41" s="150"/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50"/>
      <c r="GG41" s="150"/>
      <c r="GH41" s="150"/>
      <c r="GI41" s="150"/>
      <c r="GJ41" s="150"/>
      <c r="GK41" s="150"/>
      <c r="GL41" s="150"/>
      <c r="GM41" s="150"/>
      <c r="GN41" s="150"/>
      <c r="GO41" s="150"/>
      <c r="GP41" s="150"/>
      <c r="GQ41" s="150"/>
      <c r="GR41" s="150"/>
      <c r="GS41" s="150"/>
      <c r="GT41" s="150"/>
      <c r="GU41" s="150"/>
      <c r="GV41" s="150"/>
      <c r="GW41" s="150"/>
      <c r="GX41" s="150"/>
      <c r="GY41" s="150"/>
      <c r="GZ41" s="150"/>
      <c r="HA41" s="150"/>
      <c r="HB41" s="150"/>
      <c r="HC41" s="150"/>
      <c r="HD41" s="150"/>
      <c r="HE41" s="150"/>
      <c r="HF41" s="150"/>
      <c r="HG41" s="150"/>
      <c r="HH41" s="150"/>
      <c r="HI41" s="150"/>
      <c r="HJ41" s="150"/>
      <c r="HK41" s="150"/>
      <c r="HL41" s="150"/>
      <c r="HM41" s="150"/>
      <c r="HN41" s="150"/>
      <c r="HO41" s="150"/>
      <c r="HP41" s="150"/>
      <c r="HQ41" s="150"/>
      <c r="HR41" s="150"/>
      <c r="HS41" s="150"/>
      <c r="HT41" s="150"/>
      <c r="HU41" s="150"/>
      <c r="HV41" s="150"/>
      <c r="HW41" s="150"/>
      <c r="HX41" s="150"/>
      <c r="HY41" s="150"/>
      <c r="HZ41" s="150"/>
      <c r="IA41" s="150"/>
      <c r="IB41" s="150"/>
      <c r="IC41" s="150"/>
      <c r="ID41" s="150"/>
      <c r="IE41" s="150"/>
      <c r="IF41" s="150"/>
      <c r="IG41" s="150"/>
      <c r="IH41" s="150"/>
      <c r="II41" s="150"/>
      <c r="IJ41" s="150"/>
      <c r="IK41" s="150"/>
      <c r="IL41" s="150"/>
      <c r="IM41" s="150"/>
      <c r="IN41" s="150"/>
      <c r="IO41" s="150"/>
      <c r="IP41" s="150"/>
      <c r="IQ41" s="150"/>
      <c r="IR41" s="150"/>
      <c r="IS41" s="150"/>
      <c r="IT41" s="150"/>
      <c r="IU41" s="150"/>
      <c r="IV41" s="150"/>
      <c r="IW41" s="150"/>
      <c r="IX41" s="150"/>
      <c r="IY41" s="150"/>
      <c r="IZ41" s="150"/>
      <c r="JA41" s="150"/>
      <c r="JB41" s="150"/>
      <c r="JC41" s="150"/>
      <c r="JD41" s="150"/>
      <c r="JE41" s="150"/>
      <c r="JF41" s="150"/>
      <c r="JG41" s="150"/>
      <c r="JH41" s="150"/>
      <c r="JI41" s="150"/>
      <c r="JJ41" s="150"/>
      <c r="JK41" s="150"/>
      <c r="JL41" s="150"/>
      <c r="JM41" s="150"/>
      <c r="JN41" s="150"/>
      <c r="JO41" s="150"/>
      <c r="JP41" s="150"/>
      <c r="JQ41" s="150"/>
      <c r="JR41" s="150"/>
      <c r="JS41" s="150"/>
      <c r="JT41" s="150"/>
      <c r="JU41" s="150"/>
      <c r="JV41" s="150"/>
      <c r="JW41" s="150"/>
      <c r="JX41" s="150"/>
      <c r="JY41" s="150"/>
      <c r="JZ41" s="150"/>
      <c r="KA41" s="150"/>
      <c r="KB41" s="150"/>
      <c r="KC41" s="150"/>
      <c r="KD41" s="150"/>
      <c r="KE41" s="150"/>
      <c r="KF41" s="150"/>
      <c r="KG41" s="150"/>
      <c r="KH41" s="150"/>
      <c r="KI41" s="150"/>
      <c r="KJ41" s="150"/>
      <c r="KK41" s="150"/>
      <c r="KL41" s="150"/>
      <c r="KM41" s="150"/>
      <c r="KN41" s="150"/>
      <c r="KO41" s="150"/>
      <c r="KP41" s="150"/>
      <c r="KQ41" s="150"/>
      <c r="KR41" s="150"/>
      <c r="KS41" s="150"/>
      <c r="KT41" s="150"/>
      <c r="KU41" s="150"/>
      <c r="KV41" s="150"/>
      <c r="KW41" s="150"/>
      <c r="KX41" s="150"/>
      <c r="KY41" s="150"/>
      <c r="KZ41" s="150"/>
      <c r="LA41" s="150"/>
      <c r="LB41" s="150"/>
      <c r="LC41" s="150"/>
      <c r="LD41" s="150"/>
      <c r="LE41" s="150"/>
      <c r="LF41" s="150"/>
      <c r="LG41" s="150"/>
      <c r="LH41" s="150"/>
      <c r="LI41" s="150"/>
      <c r="LJ41" s="150"/>
      <c r="LK41" s="150"/>
      <c r="LL41" s="150"/>
      <c r="LM41" s="150"/>
      <c r="LN41" s="150"/>
      <c r="LO41" s="150"/>
      <c r="LP41" s="150"/>
      <c r="LQ41" s="150"/>
      <c r="LR41" s="150"/>
      <c r="LS41" s="150"/>
      <c r="LT41" s="150"/>
      <c r="LU41" s="150"/>
      <c r="LV41" s="150"/>
      <c r="LW41" s="150"/>
      <c r="LX41" s="150"/>
      <c r="LY41" s="150"/>
      <c r="LZ41" s="150"/>
      <c r="MA41" s="150"/>
      <c r="MB41" s="150"/>
      <c r="MC41" s="150"/>
      <c r="MD41" s="150"/>
      <c r="ME41" s="150"/>
      <c r="MF41" s="150"/>
      <c r="MG41" s="150"/>
      <c r="MH41" s="150"/>
      <c r="MI41" s="150"/>
      <c r="MJ41" s="150"/>
      <c r="MK41" s="150"/>
      <c r="ML41" s="150"/>
      <c r="MM41" s="150"/>
      <c r="MN41" s="150"/>
      <c r="MO41" s="150"/>
      <c r="MP41" s="150"/>
      <c r="MQ41" s="150"/>
      <c r="MR41" s="150"/>
      <c r="MS41" s="150"/>
      <c r="MT41" s="150"/>
      <c r="MU41" s="150"/>
      <c r="MV41" s="150"/>
      <c r="MW41" s="150"/>
      <c r="MX41" s="150"/>
      <c r="MY41" s="150"/>
      <c r="MZ41" s="150"/>
      <c r="NA41" s="150"/>
      <c r="NB41" s="150"/>
      <c r="NC41" s="150"/>
      <c r="ND41" s="150"/>
      <c r="NE41" s="150"/>
      <c r="NF41" s="150"/>
      <c r="NG41" s="150"/>
      <c r="NH41" s="150"/>
      <c r="NI41" s="150"/>
      <c r="NJ41" s="150"/>
      <c r="NK41" s="150"/>
      <c r="NL41" s="150"/>
      <c r="NM41" s="150"/>
      <c r="NN41" s="150"/>
      <c r="NO41" s="150"/>
      <c r="NP41" s="150"/>
      <c r="NQ41" s="150"/>
      <c r="NR41" s="150"/>
      <c r="NS41" s="150"/>
      <c r="NT41" s="150"/>
      <c r="NU41" s="150"/>
      <c r="NV41" s="150"/>
      <c r="NW41" s="150"/>
      <c r="NX41" s="150"/>
      <c r="NY41" s="150"/>
      <c r="NZ41" s="150"/>
      <c r="OA41" s="150"/>
      <c r="OB41" s="150"/>
      <c r="OC41" s="150"/>
      <c r="OD41" s="150"/>
      <c r="OE41" s="150"/>
      <c r="OF41" s="150"/>
      <c r="OG41" s="150"/>
      <c r="OH41" s="150"/>
      <c r="OI41" s="150"/>
      <c r="OJ41" s="150"/>
      <c r="OK41" s="150"/>
      <c r="OL41" s="150"/>
      <c r="OM41" s="150"/>
      <c r="ON41" s="150"/>
      <c r="OO41" s="150"/>
      <c r="OP41" s="150"/>
      <c r="OQ41" s="150"/>
      <c r="OR41" s="150"/>
      <c r="OS41" s="150"/>
      <c r="OT41" s="150"/>
      <c r="OU41" s="150"/>
      <c r="OV41" s="150"/>
      <c r="OW41" s="150"/>
      <c r="OX41" s="150"/>
      <c r="OY41" s="150"/>
      <c r="OZ41" s="150"/>
      <c r="PA41" s="150"/>
      <c r="PB41" s="150"/>
      <c r="PC41" s="150"/>
      <c r="PD41" s="150"/>
      <c r="PE41" s="150"/>
      <c r="PF41" s="150"/>
      <c r="PG41" s="150"/>
      <c r="PH41" s="150"/>
      <c r="PI41" s="150"/>
      <c r="PJ41" s="150"/>
      <c r="PK41" s="150"/>
      <c r="PL41" s="150"/>
      <c r="PM41" s="150"/>
      <c r="PN41" s="150"/>
      <c r="PO41" s="150"/>
      <c r="PP41" s="150"/>
      <c r="PQ41" s="150"/>
      <c r="PR41" s="150"/>
      <c r="PS41" s="150"/>
      <c r="PT41" s="150"/>
      <c r="PU41" s="150"/>
      <c r="PV41" s="150"/>
      <c r="PW41" s="150"/>
      <c r="PX41" s="150"/>
      <c r="PY41" s="150"/>
      <c r="PZ41" s="150"/>
      <c r="QA41" s="150"/>
      <c r="QB41" s="150"/>
      <c r="QC41" s="150"/>
      <c r="QD41" s="150"/>
      <c r="QE41" s="150"/>
      <c r="QF41" s="150"/>
      <c r="QG41" s="150"/>
      <c r="QH41" s="150"/>
      <c r="QI41" s="150"/>
      <c r="QJ41" s="150"/>
      <c r="QK41" s="150"/>
      <c r="QL41" s="150"/>
      <c r="QM41" s="150"/>
      <c r="QN41" s="150"/>
      <c r="QO41" s="150"/>
      <c r="QP41" s="150"/>
      <c r="QQ41" s="150"/>
      <c r="QR41" s="150"/>
      <c r="QS41" s="150"/>
      <c r="QT41" s="150"/>
      <c r="QU41" s="150"/>
      <c r="QV41" s="150"/>
      <c r="QW41" s="150"/>
      <c r="QX41" s="150"/>
      <c r="QY41" s="150"/>
      <c r="QZ41" s="150"/>
      <c r="RA41" s="150"/>
      <c r="RB41" s="150"/>
      <c r="RC41" s="150"/>
      <c r="RD41" s="150"/>
      <c r="RE41" s="150"/>
      <c r="RF41" s="150"/>
      <c r="RG41" s="150"/>
      <c r="RH41" s="150"/>
      <c r="RI41" s="150"/>
      <c r="RJ41" s="150"/>
      <c r="RK41" s="150"/>
      <c r="RL41" s="150"/>
      <c r="RM41" s="150"/>
      <c r="RN41" s="150"/>
      <c r="RO41" s="150"/>
      <c r="RP41" s="150"/>
      <c r="RQ41" s="150"/>
      <c r="RR41" s="150"/>
      <c r="RS41" s="150"/>
      <c r="RT41" s="150"/>
      <c r="RU41" s="150"/>
      <c r="RV41" s="150"/>
      <c r="RW41" s="150"/>
      <c r="RX41" s="150"/>
      <c r="RY41" s="150"/>
      <c r="RZ41" s="150"/>
      <c r="SA41" s="150"/>
      <c r="SB41" s="150"/>
      <c r="SC41" s="150"/>
      <c r="SD41" s="150"/>
      <c r="SE41" s="150"/>
      <c r="SF41" s="150"/>
      <c r="SG41" s="150"/>
      <c r="SH41" s="150"/>
      <c r="SI41" s="150"/>
      <c r="SJ41" s="150"/>
      <c r="SK41" s="150"/>
      <c r="SL41" s="150"/>
      <c r="SM41" s="150"/>
      <c r="SN41" s="150"/>
      <c r="SO41" s="150"/>
      <c r="SP41" s="150"/>
      <c r="SQ41" s="150"/>
      <c r="SR41" s="150"/>
      <c r="SS41" s="150"/>
      <c r="ST41" s="150"/>
      <c r="SU41" s="150"/>
      <c r="SV41" s="150"/>
      <c r="SW41" s="150"/>
      <c r="SX41" s="150"/>
      <c r="SY41" s="150"/>
      <c r="SZ41" s="150"/>
      <c r="TA41" s="150"/>
      <c r="TB41" s="150"/>
      <c r="TC41" s="150"/>
      <c r="TD41" s="150"/>
      <c r="TE41" s="150"/>
      <c r="TF41" s="150"/>
      <c r="TG41" s="150"/>
      <c r="TH41" s="150"/>
      <c r="TI41" s="150"/>
      <c r="TJ41" s="150"/>
      <c r="TK41" s="150"/>
      <c r="TL41" s="150"/>
      <c r="TM41" s="150"/>
      <c r="TN41" s="150"/>
      <c r="TO41" s="150"/>
      <c r="TP41" s="150"/>
      <c r="TQ41" s="150"/>
      <c r="TR41" s="150"/>
      <c r="TS41" s="150"/>
      <c r="TT41" s="150"/>
      <c r="TU41" s="150"/>
      <c r="TV41" s="150"/>
      <c r="TW41" s="150"/>
      <c r="TX41" s="150"/>
      <c r="TY41" s="150"/>
      <c r="TZ41" s="150"/>
      <c r="UA41" s="150"/>
      <c r="UB41" s="150"/>
      <c r="UC41" s="150"/>
      <c r="UD41" s="150"/>
      <c r="UE41" s="150"/>
      <c r="UF41" s="150"/>
      <c r="UG41" s="150"/>
      <c r="UH41" s="150"/>
      <c r="UI41" s="150"/>
      <c r="UJ41" s="150"/>
      <c r="UK41" s="150"/>
      <c r="UL41" s="150"/>
      <c r="UM41" s="150"/>
      <c r="UN41" s="150"/>
      <c r="UO41" s="150"/>
      <c r="UP41" s="150"/>
      <c r="UQ41" s="150"/>
      <c r="UR41" s="150"/>
      <c r="US41" s="150"/>
      <c r="UT41" s="150"/>
      <c r="UU41" s="150"/>
      <c r="UV41" s="150"/>
      <c r="UW41" s="150"/>
      <c r="UX41" s="150"/>
      <c r="UY41" s="150"/>
      <c r="UZ41" s="150"/>
      <c r="VA41" s="150"/>
      <c r="VB41" s="150"/>
      <c r="VC41" s="150"/>
      <c r="VD41" s="150"/>
      <c r="VE41" s="150"/>
      <c r="VF41" s="150"/>
      <c r="VG41" s="150"/>
      <c r="VH41" s="150"/>
      <c r="VI41" s="150"/>
      <c r="VJ41" s="150"/>
      <c r="VK41" s="150"/>
      <c r="VL41" s="150"/>
      <c r="VM41" s="150"/>
      <c r="VN41" s="150"/>
      <c r="VO41" s="150"/>
      <c r="VP41" s="150"/>
      <c r="VQ41" s="150"/>
      <c r="VR41" s="150"/>
      <c r="VS41" s="150"/>
      <c r="VT41" s="150"/>
      <c r="VU41" s="150"/>
      <c r="VV41" s="150"/>
      <c r="VW41" s="150"/>
      <c r="VX41" s="150"/>
      <c r="VY41" s="150"/>
      <c r="VZ41" s="150"/>
      <c r="WA41" s="150"/>
      <c r="WB41" s="150"/>
      <c r="WC41" s="150"/>
      <c r="WD41" s="150"/>
      <c r="WE41" s="150"/>
      <c r="WF41" s="150"/>
      <c r="WG41" s="150"/>
      <c r="WH41" s="150"/>
      <c r="WI41" s="150"/>
      <c r="WJ41" s="150"/>
      <c r="WK41" s="150"/>
      <c r="WL41" s="150"/>
      <c r="WM41" s="150"/>
      <c r="WN41" s="150"/>
      <c r="WO41" s="150"/>
      <c r="WP41" s="150"/>
      <c r="WQ41" s="150"/>
      <c r="WR41" s="150"/>
      <c r="WS41" s="150"/>
      <c r="WT41" s="150"/>
      <c r="WU41" s="150"/>
      <c r="WV41" s="150"/>
      <c r="WW41" s="150"/>
      <c r="WX41" s="150"/>
      <c r="WY41" s="150"/>
      <c r="WZ41" s="150"/>
      <c r="XA41" s="150"/>
      <c r="XB41" s="150"/>
      <c r="XC41" s="150"/>
      <c r="XD41" s="150"/>
      <c r="XE41" s="150"/>
      <c r="XF41" s="150"/>
      <c r="XG41" s="150"/>
      <c r="XH41" s="150"/>
      <c r="XI41" s="150"/>
      <c r="XJ41" s="150"/>
      <c r="XK41" s="150"/>
      <c r="XL41" s="150"/>
      <c r="XM41" s="150"/>
      <c r="ZL41" s="182" t="str">
        <f t="shared" si="1"/>
        <v>BORDEAUX -LYON</v>
      </c>
      <c r="ZM41" s="183" t="s">
        <v>533</v>
      </c>
      <c r="ZN41" s="182" t="s">
        <v>517</v>
      </c>
      <c r="ZO41" s="182">
        <v>435</v>
      </c>
      <c r="ZP41" s="198">
        <v>136.59</v>
      </c>
      <c r="ZQ41" s="93"/>
      <c r="ZR41" s="93"/>
      <c r="ZS41" s="93"/>
      <c r="ZT41" s="93"/>
    </row>
    <row r="42" spans="1:696" ht="28.8">
      <c r="ZL42" s="182" t="str">
        <f t="shared" si="1"/>
        <v>BORDEAUX -CARTAGENA</v>
      </c>
      <c r="ZM42" s="183" t="s">
        <v>533</v>
      </c>
      <c r="ZN42" s="182" t="s">
        <v>534</v>
      </c>
      <c r="ZO42" s="182">
        <v>8011</v>
      </c>
      <c r="ZP42" s="198">
        <v>1842.53</v>
      </c>
      <c r="ZQ42" s="92"/>
      <c r="ZR42" s="92"/>
      <c r="ZS42" s="92"/>
      <c r="ZT42" s="92"/>
    </row>
    <row r="43" spans="1:696" s="192" customFormat="1" ht="28.8">
      <c r="A43" s="91"/>
      <c r="B43" s="91"/>
      <c r="C43" s="91"/>
      <c r="D43" s="735">
        <v>2017</v>
      </c>
      <c r="E43" s="189" t="s">
        <v>711</v>
      </c>
      <c r="F43" s="182" t="s">
        <v>714</v>
      </c>
      <c r="G43" s="182" t="s">
        <v>714</v>
      </c>
      <c r="H43" s="182" t="s">
        <v>714</v>
      </c>
      <c r="I43" s="182" t="s">
        <v>715</v>
      </c>
      <c r="J43" s="182" t="s">
        <v>715</v>
      </c>
      <c r="K43" s="182" t="s">
        <v>716</v>
      </c>
      <c r="L43" s="182" t="s">
        <v>716</v>
      </c>
      <c r="M43" s="182" t="s">
        <v>714</v>
      </c>
      <c r="N43" s="182" t="s">
        <v>717</v>
      </c>
      <c r="O43" s="182" t="s">
        <v>717</v>
      </c>
      <c r="P43" s="182" t="s">
        <v>718</v>
      </c>
      <c r="Q43" s="182" t="s">
        <v>718</v>
      </c>
      <c r="R43" s="182" t="s">
        <v>718</v>
      </c>
      <c r="S43" s="182" t="s">
        <v>718</v>
      </c>
      <c r="T43" s="182" t="s">
        <v>718</v>
      </c>
      <c r="U43" s="182" t="s">
        <v>718</v>
      </c>
      <c r="V43" s="182" t="s">
        <v>718</v>
      </c>
      <c r="W43" s="182" t="s">
        <v>718</v>
      </c>
      <c r="X43" s="182" t="s">
        <v>718</v>
      </c>
      <c r="Y43" s="182" t="s">
        <v>718</v>
      </c>
      <c r="Z43" s="182" t="s">
        <v>718</v>
      </c>
      <c r="AA43" s="182" t="s">
        <v>718</v>
      </c>
      <c r="AB43" s="182" t="s">
        <v>719</v>
      </c>
      <c r="AC43" s="182" t="s">
        <v>720</v>
      </c>
      <c r="AD43" s="182" t="s">
        <v>721</v>
      </c>
      <c r="AE43" s="182" t="s">
        <v>722</v>
      </c>
      <c r="AF43" s="182" t="s">
        <v>714</v>
      </c>
      <c r="AG43" s="182" t="s">
        <v>714</v>
      </c>
      <c r="AH43" s="182" t="s">
        <v>723</v>
      </c>
      <c r="AI43" s="182" t="s">
        <v>718</v>
      </c>
      <c r="AJ43" s="182" t="s">
        <v>718</v>
      </c>
      <c r="AK43" s="182" t="s">
        <v>718</v>
      </c>
      <c r="AL43" s="182" t="s">
        <v>718</v>
      </c>
      <c r="AM43" s="182" t="s">
        <v>722</v>
      </c>
      <c r="AN43" s="182" t="s">
        <v>722</v>
      </c>
      <c r="AO43" s="182" t="s">
        <v>722</v>
      </c>
      <c r="AP43" s="182" t="s">
        <v>718</v>
      </c>
      <c r="AQ43" s="182" t="s">
        <v>718</v>
      </c>
      <c r="AR43" s="182" t="s">
        <v>718</v>
      </c>
      <c r="AS43" s="182" t="s">
        <v>718</v>
      </c>
      <c r="AT43" s="182" t="s">
        <v>718</v>
      </c>
      <c r="AU43" s="182" t="s">
        <v>718</v>
      </c>
      <c r="AV43" s="182" t="s">
        <v>718</v>
      </c>
      <c r="AW43" s="182" t="s">
        <v>718</v>
      </c>
      <c r="AX43" s="182" t="s">
        <v>718</v>
      </c>
      <c r="AY43" s="182" t="s">
        <v>718</v>
      </c>
      <c r="AZ43" s="182" t="s">
        <v>718</v>
      </c>
      <c r="BA43" s="182" t="s">
        <v>718</v>
      </c>
      <c r="BB43" s="182" t="s">
        <v>718</v>
      </c>
      <c r="BC43" s="182" t="s">
        <v>718</v>
      </c>
      <c r="BD43" s="182" t="s">
        <v>718</v>
      </c>
      <c r="BE43" s="182" t="s">
        <v>718</v>
      </c>
      <c r="BF43" s="182" t="s">
        <v>718</v>
      </c>
      <c r="BG43" s="182" t="s">
        <v>718</v>
      </c>
      <c r="BH43" s="182" t="s">
        <v>718</v>
      </c>
      <c r="BI43" s="182" t="s">
        <v>718</v>
      </c>
      <c r="BJ43" s="182" t="s">
        <v>718</v>
      </c>
      <c r="BK43" s="182" t="s">
        <v>718</v>
      </c>
      <c r="BL43" s="182" t="s">
        <v>718</v>
      </c>
      <c r="BM43" s="182" t="s">
        <v>718</v>
      </c>
      <c r="BN43" s="182" t="s">
        <v>718</v>
      </c>
      <c r="BO43" s="182" t="s">
        <v>718</v>
      </c>
      <c r="BP43" s="182" t="s">
        <v>718</v>
      </c>
      <c r="BQ43" s="182" t="s">
        <v>718</v>
      </c>
      <c r="BR43" s="182" t="s">
        <v>718</v>
      </c>
      <c r="BS43" s="182" t="s">
        <v>718</v>
      </c>
      <c r="BT43" s="182" t="s">
        <v>718</v>
      </c>
      <c r="BU43" s="182" t="s">
        <v>718</v>
      </c>
      <c r="BV43" s="182" t="s">
        <v>718</v>
      </c>
      <c r="BW43" s="182" t="s">
        <v>718</v>
      </c>
      <c r="BX43" s="182" t="s">
        <v>718</v>
      </c>
      <c r="BY43" s="182" t="s">
        <v>718</v>
      </c>
      <c r="BZ43" s="182" t="s">
        <v>718</v>
      </c>
      <c r="CA43" s="182" t="s">
        <v>718</v>
      </c>
      <c r="CB43" s="182" t="s">
        <v>718</v>
      </c>
      <c r="CC43" s="182" t="s">
        <v>718</v>
      </c>
      <c r="CD43" s="182" t="s">
        <v>718</v>
      </c>
      <c r="CE43" s="182" t="s">
        <v>718</v>
      </c>
      <c r="CF43" s="182" t="s">
        <v>718</v>
      </c>
      <c r="CG43" s="182" t="s">
        <v>718</v>
      </c>
      <c r="CH43" s="182" t="s">
        <v>718</v>
      </c>
      <c r="CI43" s="182" t="s">
        <v>718</v>
      </c>
      <c r="CJ43" s="182" t="s">
        <v>718</v>
      </c>
      <c r="CK43" s="182" t="s">
        <v>718</v>
      </c>
      <c r="CL43" s="182" t="s">
        <v>718</v>
      </c>
      <c r="CM43" s="182" t="s">
        <v>718</v>
      </c>
      <c r="CN43" s="182" t="s">
        <v>718</v>
      </c>
      <c r="CO43" s="182" t="s">
        <v>718</v>
      </c>
      <c r="CP43" s="182" t="s">
        <v>718</v>
      </c>
      <c r="CQ43" s="182" t="s">
        <v>718</v>
      </c>
      <c r="CR43" s="182" t="s">
        <v>718</v>
      </c>
      <c r="CS43" s="182" t="s">
        <v>718</v>
      </c>
      <c r="CT43" s="182" t="s">
        <v>718</v>
      </c>
      <c r="CU43" s="182" t="s">
        <v>718</v>
      </c>
      <c r="CV43" s="182" t="s">
        <v>718</v>
      </c>
      <c r="CW43" s="182" t="s">
        <v>718</v>
      </c>
      <c r="CX43" s="182" t="s">
        <v>718</v>
      </c>
      <c r="CY43" s="182" t="s">
        <v>718</v>
      </c>
      <c r="CZ43" s="182" t="s">
        <v>718</v>
      </c>
      <c r="DA43" s="182" t="s">
        <v>718</v>
      </c>
      <c r="DB43" s="182" t="s">
        <v>718</v>
      </c>
      <c r="DC43" s="182" t="s">
        <v>718</v>
      </c>
      <c r="DD43" s="182" t="s">
        <v>718</v>
      </c>
      <c r="DE43" s="182" t="s">
        <v>718</v>
      </c>
      <c r="DF43" s="182" t="s">
        <v>724</v>
      </c>
      <c r="DG43" s="182" t="s">
        <v>724</v>
      </c>
      <c r="DH43" s="182" t="s">
        <v>718</v>
      </c>
      <c r="DI43" s="182" t="s">
        <v>718</v>
      </c>
      <c r="DJ43" s="182" t="s">
        <v>718</v>
      </c>
      <c r="DK43" s="182" t="s">
        <v>718</v>
      </c>
      <c r="DL43" s="182" t="s">
        <v>718</v>
      </c>
      <c r="DM43" s="182" t="s">
        <v>723</v>
      </c>
      <c r="DN43" s="182" t="s">
        <v>723</v>
      </c>
      <c r="DO43" s="182" t="s">
        <v>714</v>
      </c>
      <c r="DP43" s="182" t="s">
        <v>714</v>
      </c>
      <c r="DQ43" s="182" t="s">
        <v>714</v>
      </c>
      <c r="DR43" s="182" t="s">
        <v>718</v>
      </c>
      <c r="DS43" s="182" t="s">
        <v>718</v>
      </c>
      <c r="DT43" s="182" t="s">
        <v>718</v>
      </c>
      <c r="DU43" s="182" t="s">
        <v>718</v>
      </c>
      <c r="DV43" s="182" t="s">
        <v>718</v>
      </c>
      <c r="DW43" s="182" t="s">
        <v>718</v>
      </c>
      <c r="DX43" s="182" t="s">
        <v>718</v>
      </c>
      <c r="DY43" s="182" t="s">
        <v>718</v>
      </c>
      <c r="DZ43" s="182" t="s">
        <v>718</v>
      </c>
      <c r="EA43" s="182" t="s">
        <v>718</v>
      </c>
      <c r="EB43" s="182" t="s">
        <v>718</v>
      </c>
      <c r="EC43" s="182" t="s">
        <v>718</v>
      </c>
      <c r="ED43" s="182" t="s">
        <v>718</v>
      </c>
      <c r="EE43" s="182" t="s">
        <v>718</v>
      </c>
      <c r="EF43" s="182" t="s">
        <v>725</v>
      </c>
      <c r="EG43" s="182" t="s">
        <v>718</v>
      </c>
      <c r="EH43" s="182" t="s">
        <v>726</v>
      </c>
      <c r="EI43" s="182" t="s">
        <v>726</v>
      </c>
      <c r="EJ43" s="182" t="s">
        <v>722</v>
      </c>
      <c r="EK43" s="182" t="s">
        <v>718</v>
      </c>
      <c r="EL43" s="182" t="s">
        <v>718</v>
      </c>
      <c r="EM43" s="182" t="s">
        <v>719</v>
      </c>
      <c r="EN43" s="182" t="s">
        <v>719</v>
      </c>
      <c r="EO43" s="182" t="s">
        <v>719</v>
      </c>
      <c r="EP43" s="182" t="s">
        <v>719</v>
      </c>
      <c r="EQ43" s="182" t="s">
        <v>719</v>
      </c>
      <c r="ER43" s="182" t="s">
        <v>718</v>
      </c>
      <c r="ES43" s="182" t="s">
        <v>718</v>
      </c>
      <c r="ET43" s="182" t="s">
        <v>718</v>
      </c>
      <c r="EU43" s="182" t="s">
        <v>718</v>
      </c>
      <c r="EV43" s="182" t="s">
        <v>718</v>
      </c>
      <c r="EW43" s="182" t="s">
        <v>718</v>
      </c>
      <c r="EX43" s="182" t="s">
        <v>718</v>
      </c>
      <c r="EY43" s="182" t="s">
        <v>718</v>
      </c>
      <c r="EZ43" s="182" t="s">
        <v>718</v>
      </c>
      <c r="FA43" s="182" t="s">
        <v>718</v>
      </c>
      <c r="FB43" s="182" t="s">
        <v>723</v>
      </c>
      <c r="FC43" s="182" t="s">
        <v>727</v>
      </c>
      <c r="FD43" s="182" t="s">
        <v>727</v>
      </c>
      <c r="FE43" s="182" t="s">
        <v>718</v>
      </c>
      <c r="FF43" s="182" t="s">
        <v>718</v>
      </c>
      <c r="FG43" s="182" t="s">
        <v>718</v>
      </c>
      <c r="FH43" s="182" t="s">
        <v>718</v>
      </c>
      <c r="FI43" s="182" t="s">
        <v>718</v>
      </c>
      <c r="FJ43" s="182" t="s">
        <v>718</v>
      </c>
      <c r="FK43" s="182" t="s">
        <v>718</v>
      </c>
      <c r="FL43" s="182" t="s">
        <v>718</v>
      </c>
      <c r="FM43" s="182" t="s">
        <v>718</v>
      </c>
      <c r="FN43" s="182" t="s">
        <v>718</v>
      </c>
      <c r="FO43" s="182" t="s">
        <v>718</v>
      </c>
      <c r="FP43" s="182" t="s">
        <v>718</v>
      </c>
      <c r="FQ43" s="182" t="s">
        <v>718</v>
      </c>
      <c r="FR43" s="182" t="s">
        <v>718</v>
      </c>
      <c r="FS43" s="182" t="s">
        <v>718</v>
      </c>
      <c r="FT43" s="182" t="s">
        <v>718</v>
      </c>
      <c r="FU43" s="182" t="s">
        <v>718</v>
      </c>
      <c r="FV43" s="182" t="s">
        <v>718</v>
      </c>
      <c r="FW43" s="182" t="s">
        <v>718</v>
      </c>
      <c r="FX43" s="182" t="s">
        <v>718</v>
      </c>
      <c r="FY43" s="182" t="s">
        <v>718</v>
      </c>
      <c r="FZ43" s="182" t="s">
        <v>718</v>
      </c>
      <c r="GA43" s="182" t="s">
        <v>728</v>
      </c>
      <c r="GB43" s="182" t="s">
        <v>728</v>
      </c>
      <c r="GC43" s="182" t="s">
        <v>723</v>
      </c>
      <c r="GD43" s="182" t="s">
        <v>723</v>
      </c>
      <c r="GE43" s="182" t="s">
        <v>723</v>
      </c>
      <c r="GF43" s="182" t="s">
        <v>723</v>
      </c>
      <c r="GG43" s="182" t="s">
        <v>723</v>
      </c>
      <c r="GH43" s="182" t="s">
        <v>723</v>
      </c>
      <c r="GI43" s="182" t="s">
        <v>723</v>
      </c>
      <c r="GJ43" s="182" t="s">
        <v>723</v>
      </c>
      <c r="GK43" s="182" t="s">
        <v>723</v>
      </c>
      <c r="GL43" s="182" t="s">
        <v>723</v>
      </c>
      <c r="GM43" s="182" t="s">
        <v>723</v>
      </c>
      <c r="GN43" s="182" t="s">
        <v>723</v>
      </c>
      <c r="GO43" s="182" t="s">
        <v>723</v>
      </c>
      <c r="GP43" s="182" t="s">
        <v>723</v>
      </c>
      <c r="GQ43" s="182" t="s">
        <v>718</v>
      </c>
      <c r="GR43" s="182" t="s">
        <v>718</v>
      </c>
      <c r="GS43" s="182" t="s">
        <v>718</v>
      </c>
      <c r="GT43" s="182" t="s">
        <v>723</v>
      </c>
      <c r="GU43" s="182" t="s">
        <v>723</v>
      </c>
      <c r="GV43" s="182" t="s">
        <v>718</v>
      </c>
      <c r="GW43" s="182" t="s">
        <v>718</v>
      </c>
      <c r="GX43" s="182" t="s">
        <v>718</v>
      </c>
      <c r="GY43" s="182" t="s">
        <v>718</v>
      </c>
      <c r="GZ43" s="182" t="s">
        <v>718</v>
      </c>
      <c r="HA43" s="182" t="s">
        <v>718</v>
      </c>
      <c r="HB43" s="182" t="s">
        <v>723</v>
      </c>
      <c r="HC43" s="182" t="s">
        <v>723</v>
      </c>
      <c r="HD43" s="182" t="s">
        <v>723</v>
      </c>
      <c r="HE43" s="182" t="s">
        <v>718</v>
      </c>
      <c r="HF43" s="182" t="s">
        <v>719</v>
      </c>
      <c r="HG43" s="182" t="s">
        <v>718</v>
      </c>
      <c r="HH43" s="182" t="s">
        <v>718</v>
      </c>
      <c r="HI43" s="182" t="s">
        <v>718</v>
      </c>
      <c r="HJ43" s="182" t="s">
        <v>718</v>
      </c>
      <c r="HK43" s="182" t="s">
        <v>729</v>
      </c>
      <c r="HL43" s="182" t="s">
        <v>584</v>
      </c>
      <c r="HM43" s="182" t="s">
        <v>718</v>
      </c>
      <c r="HN43" s="182" t="s">
        <v>718</v>
      </c>
      <c r="HO43" s="182" t="s">
        <v>718</v>
      </c>
      <c r="HP43" s="182" t="s">
        <v>718</v>
      </c>
      <c r="HQ43" s="182" t="s">
        <v>725</v>
      </c>
      <c r="HR43" s="182" t="s">
        <v>718</v>
      </c>
      <c r="HS43" s="182" t="s">
        <v>718</v>
      </c>
      <c r="HT43" s="182" t="s">
        <v>718</v>
      </c>
      <c r="HU43" s="182" t="s">
        <v>718</v>
      </c>
      <c r="HV43" s="182" t="s">
        <v>718</v>
      </c>
      <c r="HW43" s="182" t="s">
        <v>718</v>
      </c>
      <c r="HX43" s="182" t="s">
        <v>718</v>
      </c>
      <c r="HY43" s="182" t="s">
        <v>718</v>
      </c>
      <c r="HZ43" s="182" t="s">
        <v>718</v>
      </c>
      <c r="IA43" s="182" t="s">
        <v>718</v>
      </c>
      <c r="IB43" s="182" t="s">
        <v>718</v>
      </c>
      <c r="IC43" s="182" t="s">
        <v>718</v>
      </c>
      <c r="ID43" s="182" t="s">
        <v>718</v>
      </c>
      <c r="IE43" s="182" t="s">
        <v>730</v>
      </c>
      <c r="IF43" s="182" t="s">
        <v>730</v>
      </c>
      <c r="IG43" s="182" t="s">
        <v>730</v>
      </c>
      <c r="IH43" s="182" t="s">
        <v>730</v>
      </c>
      <c r="II43" s="182" t="s">
        <v>730</v>
      </c>
      <c r="IJ43" s="182" t="s">
        <v>730</v>
      </c>
      <c r="IK43" s="182" t="s">
        <v>730</v>
      </c>
      <c r="IL43" s="182" t="s">
        <v>730</v>
      </c>
      <c r="IM43" s="182" t="s">
        <v>731</v>
      </c>
      <c r="IN43" s="182" t="s">
        <v>731</v>
      </c>
      <c r="IO43" s="182" t="s">
        <v>732</v>
      </c>
      <c r="IP43" s="182" t="s">
        <v>719</v>
      </c>
      <c r="IQ43" s="182" t="s">
        <v>719</v>
      </c>
      <c r="IR43" s="182" t="s">
        <v>718</v>
      </c>
      <c r="IS43" s="182" t="s">
        <v>733</v>
      </c>
      <c r="IT43" s="182" t="s">
        <v>733</v>
      </c>
      <c r="IU43" s="182" t="s">
        <v>718</v>
      </c>
      <c r="IV43" s="182" t="s">
        <v>718</v>
      </c>
      <c r="IW43" s="182" t="s">
        <v>718</v>
      </c>
      <c r="IX43" s="182" t="s">
        <v>718</v>
      </c>
      <c r="IY43" s="182" t="s">
        <v>718</v>
      </c>
      <c r="IZ43" s="182" t="s">
        <v>723</v>
      </c>
      <c r="JA43" s="182" t="s">
        <v>723</v>
      </c>
      <c r="JB43" s="182" t="s">
        <v>723</v>
      </c>
      <c r="JC43" s="182" t="s">
        <v>723</v>
      </c>
      <c r="JD43" s="182" t="s">
        <v>726</v>
      </c>
      <c r="JE43" s="182" t="s">
        <v>725</v>
      </c>
      <c r="JF43" s="182" t="s">
        <v>718</v>
      </c>
      <c r="JG43" s="182" t="s">
        <v>719</v>
      </c>
      <c r="JH43" s="182" t="s">
        <v>719</v>
      </c>
      <c r="JI43" s="182" t="s">
        <v>718</v>
      </c>
      <c r="JJ43" s="182" t="s">
        <v>718</v>
      </c>
      <c r="JK43" s="182" t="s">
        <v>730</v>
      </c>
      <c r="JL43" s="182" t="s">
        <v>730</v>
      </c>
      <c r="JM43" s="182" t="s">
        <v>734</v>
      </c>
      <c r="JN43" s="182" t="s">
        <v>734</v>
      </c>
      <c r="JO43" s="182" t="s">
        <v>734</v>
      </c>
      <c r="JP43" s="182" t="s">
        <v>734</v>
      </c>
      <c r="JQ43" s="182" t="s">
        <v>734</v>
      </c>
      <c r="JR43" s="182" t="s">
        <v>718</v>
      </c>
      <c r="JS43" s="182" t="s">
        <v>718</v>
      </c>
      <c r="JT43" s="182" t="s">
        <v>723</v>
      </c>
      <c r="JU43" s="182" t="s">
        <v>730</v>
      </c>
      <c r="JV43" s="182" t="s">
        <v>730</v>
      </c>
      <c r="JW43" s="182" t="s">
        <v>730</v>
      </c>
      <c r="JX43" s="182" t="s">
        <v>730</v>
      </c>
      <c r="JY43" s="182" t="s">
        <v>730</v>
      </c>
      <c r="JZ43" s="182" t="s">
        <v>730</v>
      </c>
      <c r="KA43" s="182" t="s">
        <v>730</v>
      </c>
      <c r="KB43" s="182" t="s">
        <v>724</v>
      </c>
      <c r="KC43" s="182" t="s">
        <v>735</v>
      </c>
      <c r="KD43" s="182" t="s">
        <v>726</v>
      </c>
      <c r="KE43" s="182" t="s">
        <v>726</v>
      </c>
      <c r="KF43" s="182" t="s">
        <v>726</v>
      </c>
      <c r="KG43" s="182" t="s">
        <v>726</v>
      </c>
      <c r="KH43" s="182" t="s">
        <v>718</v>
      </c>
      <c r="KI43" s="182" t="s">
        <v>718</v>
      </c>
      <c r="KJ43" s="182" t="s">
        <v>718</v>
      </c>
      <c r="KK43" s="182" t="s">
        <v>718</v>
      </c>
      <c r="KL43" s="182" t="s">
        <v>727</v>
      </c>
      <c r="KM43" s="182" t="s">
        <v>727</v>
      </c>
      <c r="KN43" s="182" t="s">
        <v>727</v>
      </c>
      <c r="KO43" s="182" t="s">
        <v>727</v>
      </c>
      <c r="KP43" s="182" t="s">
        <v>727</v>
      </c>
      <c r="KQ43" s="182" t="s">
        <v>727</v>
      </c>
      <c r="KR43" s="182" t="s">
        <v>727</v>
      </c>
      <c r="KS43" s="182" t="s">
        <v>725</v>
      </c>
      <c r="KT43" s="182" t="s">
        <v>725</v>
      </c>
      <c r="KU43" s="182" t="s">
        <v>719</v>
      </c>
      <c r="KV43" s="182" t="s">
        <v>723</v>
      </c>
      <c r="KW43" s="182" t="s">
        <v>719</v>
      </c>
      <c r="KX43" s="182" t="s">
        <v>719</v>
      </c>
      <c r="KY43" s="182" t="s">
        <v>719</v>
      </c>
      <c r="KZ43" s="182" t="s">
        <v>719</v>
      </c>
      <c r="LA43" s="182" t="s">
        <v>730</v>
      </c>
      <c r="LB43" s="182" t="s">
        <v>723</v>
      </c>
      <c r="LC43" s="182" t="s">
        <v>723</v>
      </c>
      <c r="LD43" s="182" t="s">
        <v>723</v>
      </c>
      <c r="LE43" s="182" t="s">
        <v>723</v>
      </c>
      <c r="LF43" s="182" t="s">
        <v>718</v>
      </c>
      <c r="LG43" s="182" t="s">
        <v>718</v>
      </c>
      <c r="LH43" s="182" t="s">
        <v>718</v>
      </c>
      <c r="LI43" s="182" t="s">
        <v>718</v>
      </c>
      <c r="LJ43" s="182" t="s">
        <v>718</v>
      </c>
      <c r="LK43" s="182" t="s">
        <v>718</v>
      </c>
      <c r="LL43" s="182" t="s">
        <v>718</v>
      </c>
      <c r="LM43" s="182" t="s">
        <v>718</v>
      </c>
      <c r="LN43" s="182" t="s">
        <v>718</v>
      </c>
      <c r="LO43" s="182" t="s">
        <v>718</v>
      </c>
      <c r="LP43" s="182" t="s">
        <v>718</v>
      </c>
      <c r="LQ43" s="182" t="s">
        <v>718</v>
      </c>
      <c r="LR43" s="182" t="s">
        <v>718</v>
      </c>
      <c r="LS43" s="182" t="s">
        <v>735</v>
      </c>
      <c r="LT43" s="182" t="s">
        <v>735</v>
      </c>
      <c r="LU43" s="182" t="s">
        <v>734</v>
      </c>
      <c r="LV43" s="182" t="s">
        <v>734</v>
      </c>
      <c r="LW43" s="182" t="s">
        <v>734</v>
      </c>
      <c r="LX43" s="182" t="s">
        <v>734</v>
      </c>
      <c r="LY43" s="182" t="s">
        <v>735</v>
      </c>
      <c r="LZ43" s="182" t="s">
        <v>726</v>
      </c>
      <c r="MA43" s="182" t="s">
        <v>726</v>
      </c>
      <c r="MB43" s="182" t="s">
        <v>727</v>
      </c>
      <c r="MC43" s="182" t="s">
        <v>727</v>
      </c>
      <c r="MD43" s="182" t="s">
        <v>727</v>
      </c>
      <c r="ME43" s="182" t="s">
        <v>727</v>
      </c>
      <c r="MF43" s="182" t="s">
        <v>727</v>
      </c>
      <c r="MG43" s="182" t="s">
        <v>736</v>
      </c>
      <c r="MH43" s="182" t="s">
        <v>736</v>
      </c>
      <c r="MI43" s="182" t="s">
        <v>736</v>
      </c>
      <c r="MJ43" s="182" t="s">
        <v>736</v>
      </c>
      <c r="MK43" s="182" t="s">
        <v>736</v>
      </c>
      <c r="ML43" s="182" t="s">
        <v>718</v>
      </c>
      <c r="MM43" s="182" t="s">
        <v>718</v>
      </c>
      <c r="MN43" s="182" t="s">
        <v>718</v>
      </c>
      <c r="MO43" s="182" t="s">
        <v>718</v>
      </c>
      <c r="MP43" s="182" t="s">
        <v>737</v>
      </c>
      <c r="MQ43" s="182" t="s">
        <v>737</v>
      </c>
      <c r="MR43" s="182" t="s">
        <v>737</v>
      </c>
      <c r="MS43" s="182" t="s">
        <v>737</v>
      </c>
      <c r="MT43" s="182" t="s">
        <v>718</v>
      </c>
      <c r="MU43" s="182" t="s">
        <v>718</v>
      </c>
      <c r="MV43" s="182" t="s">
        <v>738</v>
      </c>
      <c r="MW43" s="182" t="s">
        <v>739</v>
      </c>
      <c r="MX43" s="182" t="s">
        <v>718</v>
      </c>
      <c r="MY43" s="182" t="s">
        <v>733</v>
      </c>
      <c r="MZ43" s="182" t="s">
        <v>733</v>
      </c>
      <c r="NA43" s="182" t="s">
        <v>733</v>
      </c>
      <c r="NB43" s="182" t="s">
        <v>733</v>
      </c>
      <c r="NC43" s="182" t="s">
        <v>733</v>
      </c>
      <c r="ND43" s="182" t="s">
        <v>733</v>
      </c>
      <c r="NE43" s="182" t="s">
        <v>733</v>
      </c>
      <c r="NF43" s="182" t="s">
        <v>733</v>
      </c>
      <c r="NG43" s="182" t="s">
        <v>733</v>
      </c>
      <c r="NH43" s="182" t="s">
        <v>733</v>
      </c>
      <c r="NI43" s="182" t="s">
        <v>733</v>
      </c>
      <c r="NJ43" s="182" t="s">
        <v>733</v>
      </c>
      <c r="NK43" s="182" t="s">
        <v>733</v>
      </c>
      <c r="NL43" s="182" t="s">
        <v>733</v>
      </c>
      <c r="NM43" s="182" t="s">
        <v>733</v>
      </c>
      <c r="NN43" s="182" t="s">
        <v>740</v>
      </c>
      <c r="NO43" s="182" t="s">
        <v>718</v>
      </c>
      <c r="NP43" s="182" t="s">
        <v>718</v>
      </c>
      <c r="NQ43" s="182" t="s">
        <v>718</v>
      </c>
      <c r="NR43" s="182" t="s">
        <v>741</v>
      </c>
      <c r="NS43" s="182" t="s">
        <v>741</v>
      </c>
      <c r="NT43" s="182" t="s">
        <v>741</v>
      </c>
      <c r="NU43" s="182" t="s">
        <v>741</v>
      </c>
      <c r="NV43" s="182" t="s">
        <v>741</v>
      </c>
      <c r="NW43" s="182" t="s">
        <v>741</v>
      </c>
      <c r="NX43" s="182" t="s">
        <v>741</v>
      </c>
      <c r="NY43" s="182" t="s">
        <v>742</v>
      </c>
      <c r="NZ43" s="182" t="s">
        <v>742</v>
      </c>
      <c r="OA43" s="182" t="s">
        <v>742</v>
      </c>
      <c r="OB43" s="182" t="s">
        <v>742</v>
      </c>
      <c r="OC43" s="182" t="s">
        <v>743</v>
      </c>
      <c r="OD43" s="182" t="s">
        <v>735</v>
      </c>
      <c r="OE43" s="182" t="s">
        <v>719</v>
      </c>
      <c r="OF43" s="182" t="s">
        <v>719</v>
      </c>
      <c r="OG43" s="182" t="s">
        <v>719</v>
      </c>
      <c r="OH43" s="182" t="s">
        <v>727</v>
      </c>
      <c r="OI43" s="182" t="s">
        <v>584</v>
      </c>
      <c r="OJ43" s="182" t="s">
        <v>584</v>
      </c>
      <c r="OK43" s="182" t="s">
        <v>584</v>
      </c>
      <c r="OL43" s="182" t="s">
        <v>584</v>
      </c>
      <c r="OM43" s="182" t="s">
        <v>584</v>
      </c>
      <c r="ON43" s="182" t="s">
        <v>730</v>
      </c>
      <c r="OO43" s="182" t="s">
        <v>718</v>
      </c>
      <c r="OP43" s="182" t="s">
        <v>718</v>
      </c>
      <c r="OQ43" s="182" t="s">
        <v>726</v>
      </c>
      <c r="OR43" s="182" t="s">
        <v>718</v>
      </c>
      <c r="OS43" s="182" t="s">
        <v>730</v>
      </c>
      <c r="OT43" s="182" t="s">
        <v>730</v>
      </c>
      <c r="OU43" s="182" t="s">
        <v>718</v>
      </c>
      <c r="OV43" s="182" t="s">
        <v>726</v>
      </c>
      <c r="OW43" s="182" t="s">
        <v>726</v>
      </c>
      <c r="OX43" s="182" t="s">
        <v>726</v>
      </c>
      <c r="OY43" s="182" t="s">
        <v>726</v>
      </c>
      <c r="OZ43" s="182" t="s">
        <v>726</v>
      </c>
      <c r="PA43" s="182" t="s">
        <v>726</v>
      </c>
      <c r="PB43" s="182" t="s">
        <v>726</v>
      </c>
      <c r="PC43" s="182" t="s">
        <v>718</v>
      </c>
      <c r="PD43" s="182" t="s">
        <v>743</v>
      </c>
      <c r="PE43" s="182" t="s">
        <v>743</v>
      </c>
      <c r="PF43" s="182" t="s">
        <v>743</v>
      </c>
      <c r="PG43" s="182" t="s">
        <v>743</v>
      </c>
      <c r="PH43" s="182" t="s">
        <v>743</v>
      </c>
      <c r="PI43" s="182" t="s">
        <v>718</v>
      </c>
      <c r="PJ43" s="182" t="s">
        <v>718</v>
      </c>
      <c r="PK43" s="182" t="s">
        <v>742</v>
      </c>
      <c r="PL43" s="182" t="s">
        <v>742</v>
      </c>
      <c r="PM43" s="182" t="s">
        <v>744</v>
      </c>
      <c r="PN43" s="182" t="s">
        <v>744</v>
      </c>
      <c r="PO43" s="182" t="s">
        <v>744</v>
      </c>
      <c r="PP43" s="182" t="s">
        <v>744</v>
      </c>
      <c r="PQ43" s="182" t="s">
        <v>740</v>
      </c>
      <c r="PR43" s="182" t="s">
        <v>745</v>
      </c>
      <c r="PS43" s="182" t="s">
        <v>745</v>
      </c>
      <c r="PT43" s="182" t="s">
        <v>718</v>
      </c>
      <c r="PU43" s="182" t="s">
        <v>718</v>
      </c>
      <c r="PV43" s="182" t="s">
        <v>718</v>
      </c>
      <c r="PW43" s="182" t="s">
        <v>743</v>
      </c>
      <c r="PX43" s="182" t="s">
        <v>743</v>
      </c>
      <c r="PY43" s="182" t="s">
        <v>746</v>
      </c>
      <c r="PZ43" s="182" t="s">
        <v>729</v>
      </c>
      <c r="QA43" s="182" t="s">
        <v>729</v>
      </c>
      <c r="QB43" s="182" t="s">
        <v>743</v>
      </c>
      <c r="QC43" s="182" t="s">
        <v>743</v>
      </c>
      <c r="QD43" s="182" t="s">
        <v>743</v>
      </c>
      <c r="QE43" s="182" t="s">
        <v>743</v>
      </c>
      <c r="QF43" s="182" t="s">
        <v>718</v>
      </c>
      <c r="QG43" s="182" t="s">
        <v>718</v>
      </c>
      <c r="QH43" s="182" t="s">
        <v>743</v>
      </c>
      <c r="QI43" s="182" t="s">
        <v>743</v>
      </c>
      <c r="QJ43" s="182" t="s">
        <v>743</v>
      </c>
      <c r="QK43" s="182" t="s">
        <v>743</v>
      </c>
      <c r="QL43" s="182" t="s">
        <v>747</v>
      </c>
      <c r="QM43" s="182" t="s">
        <v>718</v>
      </c>
      <c r="QN43" s="182" t="s">
        <v>746</v>
      </c>
      <c r="QO43" s="182" t="s">
        <v>746</v>
      </c>
      <c r="QP43" s="182" t="s">
        <v>740</v>
      </c>
      <c r="QQ43" s="182" t="s">
        <v>740</v>
      </c>
      <c r="QR43" s="182" t="s">
        <v>718</v>
      </c>
      <c r="QS43" s="182" t="s">
        <v>718</v>
      </c>
      <c r="QT43" s="182" t="s">
        <v>748</v>
      </c>
      <c r="QU43" s="182" t="s">
        <v>743</v>
      </c>
      <c r="QV43" s="182" t="s">
        <v>743</v>
      </c>
      <c r="QW43" s="182" t="s">
        <v>743</v>
      </c>
      <c r="QX43" s="182" t="s">
        <v>743</v>
      </c>
      <c r="QY43" s="182" t="s">
        <v>743</v>
      </c>
      <c r="QZ43" s="182" t="s">
        <v>743</v>
      </c>
      <c r="RA43" s="182" t="s">
        <v>743</v>
      </c>
      <c r="RB43" s="182" t="s">
        <v>743</v>
      </c>
      <c r="RC43" s="182" t="s">
        <v>743</v>
      </c>
      <c r="RD43" s="182" t="s">
        <v>718</v>
      </c>
      <c r="RE43" s="182" t="s">
        <v>746</v>
      </c>
      <c r="RF43" s="182" t="s">
        <v>746</v>
      </c>
      <c r="RG43" s="182" t="s">
        <v>743</v>
      </c>
      <c r="RH43" s="182" t="s">
        <v>718</v>
      </c>
      <c r="RI43" s="182" t="s">
        <v>748</v>
      </c>
      <c r="RJ43" s="182" t="s">
        <v>748</v>
      </c>
      <c r="RK43" s="182" t="s">
        <v>749</v>
      </c>
      <c r="RL43" s="182" t="s">
        <v>749</v>
      </c>
      <c r="RM43" s="182" t="s">
        <v>718</v>
      </c>
      <c r="RN43" s="182" t="s">
        <v>718</v>
      </c>
      <c r="RO43" s="182" t="s">
        <v>718</v>
      </c>
      <c r="RP43" s="182" t="s">
        <v>743</v>
      </c>
      <c r="RQ43" s="182" t="s">
        <v>743</v>
      </c>
      <c r="RR43" s="182" t="s">
        <v>743</v>
      </c>
      <c r="RS43" s="182" t="s">
        <v>743</v>
      </c>
      <c r="RT43" s="182" t="s">
        <v>743</v>
      </c>
      <c r="RU43" s="182" t="s">
        <v>743</v>
      </c>
      <c r="RV43" s="182" t="s">
        <v>743</v>
      </c>
      <c r="RW43" s="182" t="s">
        <v>743</v>
      </c>
      <c r="RX43" s="182" t="s">
        <v>743</v>
      </c>
      <c r="RY43" s="182" t="s">
        <v>743</v>
      </c>
      <c r="RZ43" s="182" t="s">
        <v>743</v>
      </c>
      <c r="SA43" s="182" t="s">
        <v>743</v>
      </c>
      <c r="SB43" s="182" t="s">
        <v>722</v>
      </c>
      <c r="SC43" s="182" t="s">
        <v>722</v>
      </c>
      <c r="SD43" s="182" t="s">
        <v>722</v>
      </c>
      <c r="SE43" s="182" t="s">
        <v>722</v>
      </c>
      <c r="SF43" s="182" t="s">
        <v>722</v>
      </c>
      <c r="SG43" s="182" t="s">
        <v>746</v>
      </c>
      <c r="SH43" s="182" t="s">
        <v>750</v>
      </c>
      <c r="SI43" s="182" t="s">
        <v>742</v>
      </c>
      <c r="SJ43" s="182" t="s">
        <v>742</v>
      </c>
      <c r="SK43" s="182" t="s">
        <v>751</v>
      </c>
      <c r="SL43" s="182" t="s">
        <v>751</v>
      </c>
      <c r="SM43" s="182" t="s">
        <v>718</v>
      </c>
      <c r="SN43" s="182" t="s">
        <v>752</v>
      </c>
      <c r="SO43" s="182" t="s">
        <v>753</v>
      </c>
      <c r="SP43" s="182" t="s">
        <v>754</v>
      </c>
      <c r="SQ43" s="182" t="s">
        <v>754</v>
      </c>
      <c r="SR43" s="182" t="s">
        <v>754</v>
      </c>
      <c r="SS43" s="182" t="s">
        <v>755</v>
      </c>
      <c r="ST43" s="182" t="s">
        <v>755</v>
      </c>
      <c r="SU43" s="182" t="s">
        <v>718</v>
      </c>
      <c r="SV43" s="182" t="s">
        <v>718</v>
      </c>
      <c r="SW43" s="182" t="s">
        <v>718</v>
      </c>
      <c r="SX43" s="182" t="s">
        <v>718</v>
      </c>
      <c r="SY43" s="182" t="s">
        <v>750</v>
      </c>
      <c r="SZ43" s="182" t="s">
        <v>756</v>
      </c>
      <c r="TA43" s="182" t="s">
        <v>756</v>
      </c>
      <c r="TB43" s="182" t="s">
        <v>718</v>
      </c>
      <c r="TC43" s="182" t="s">
        <v>757</v>
      </c>
      <c r="TD43" s="182" t="s">
        <v>757</v>
      </c>
      <c r="TE43" s="182" t="s">
        <v>757</v>
      </c>
      <c r="TF43" s="182" t="s">
        <v>757</v>
      </c>
      <c r="TG43" s="182" t="s">
        <v>718</v>
      </c>
      <c r="TH43" s="182" t="s">
        <v>718</v>
      </c>
      <c r="TI43" s="182" t="s">
        <v>718</v>
      </c>
      <c r="TJ43" s="182" t="s">
        <v>718</v>
      </c>
      <c r="TK43" s="182" t="s">
        <v>750</v>
      </c>
      <c r="TL43" s="182" t="s">
        <v>742</v>
      </c>
      <c r="TM43" s="182" t="s">
        <v>758</v>
      </c>
      <c r="TN43" s="182" t="s">
        <v>718</v>
      </c>
      <c r="TO43" s="182" t="s">
        <v>714</v>
      </c>
      <c r="TP43" s="182" t="s">
        <v>714</v>
      </c>
      <c r="TQ43" s="182" t="s">
        <v>714</v>
      </c>
      <c r="TR43" s="182" t="s">
        <v>759</v>
      </c>
      <c r="TS43" s="182" t="s">
        <v>759</v>
      </c>
      <c r="TT43" s="182" t="s">
        <v>759</v>
      </c>
      <c r="TU43" s="182" t="s">
        <v>759</v>
      </c>
      <c r="TV43" s="182" t="s">
        <v>759</v>
      </c>
      <c r="TW43" s="182" t="s">
        <v>759</v>
      </c>
      <c r="TX43" s="182" t="s">
        <v>718</v>
      </c>
      <c r="TY43" s="182" t="s">
        <v>714</v>
      </c>
      <c r="TZ43" s="182" t="s">
        <v>714</v>
      </c>
      <c r="UA43" s="182" t="s">
        <v>714</v>
      </c>
      <c r="UB43" s="182" t="s">
        <v>714</v>
      </c>
      <c r="UC43" s="182" t="s">
        <v>714</v>
      </c>
      <c r="UD43" s="182" t="s">
        <v>714</v>
      </c>
      <c r="UE43" s="182" t="s">
        <v>759</v>
      </c>
      <c r="UF43" s="182" t="s">
        <v>759</v>
      </c>
      <c r="UG43" s="182" t="s">
        <v>714</v>
      </c>
      <c r="UH43" s="182" t="s">
        <v>714</v>
      </c>
      <c r="UI43" s="182" t="s">
        <v>714</v>
      </c>
      <c r="UJ43" s="182" t="s">
        <v>714</v>
      </c>
      <c r="UK43" s="182" t="s">
        <v>714</v>
      </c>
      <c r="UL43" s="182" t="s">
        <v>714</v>
      </c>
      <c r="UM43" s="182" t="s">
        <v>714</v>
      </c>
      <c r="UN43" s="182" t="s">
        <v>714</v>
      </c>
      <c r="UO43" s="182" t="s">
        <v>714</v>
      </c>
      <c r="UP43" s="182" t="s">
        <v>714</v>
      </c>
      <c r="UQ43" s="182" t="s">
        <v>760</v>
      </c>
      <c r="UR43" s="182" t="s">
        <v>714</v>
      </c>
      <c r="US43" s="182" t="s">
        <v>739</v>
      </c>
      <c r="UT43" s="182" t="s">
        <v>716</v>
      </c>
      <c r="UU43" s="182" t="s">
        <v>716</v>
      </c>
      <c r="UV43" s="182" t="s">
        <v>714</v>
      </c>
      <c r="UW43" s="182" t="s">
        <v>726</v>
      </c>
      <c r="UX43" s="182" t="s">
        <v>726</v>
      </c>
      <c r="UY43" s="182" t="s">
        <v>726</v>
      </c>
      <c r="UZ43" s="182" t="s">
        <v>726</v>
      </c>
      <c r="VA43" s="182" t="s">
        <v>726</v>
      </c>
      <c r="VB43" s="182" t="s">
        <v>726</v>
      </c>
      <c r="VC43" s="182" t="s">
        <v>714</v>
      </c>
      <c r="VD43" s="182" t="s">
        <v>714</v>
      </c>
      <c r="VE43" s="182" t="s">
        <v>761</v>
      </c>
      <c r="VF43" s="182" t="s">
        <v>761</v>
      </c>
      <c r="VG43" s="182" t="s">
        <v>714</v>
      </c>
      <c r="VH43" s="182" t="s">
        <v>762</v>
      </c>
      <c r="VI43" s="182" t="s">
        <v>714</v>
      </c>
      <c r="VJ43" s="182" t="s">
        <v>722</v>
      </c>
      <c r="VK43" s="182" t="s">
        <v>722</v>
      </c>
      <c r="VL43" s="182" t="s">
        <v>760</v>
      </c>
      <c r="VM43" s="182" t="s">
        <v>714</v>
      </c>
      <c r="VN43" s="182" t="s">
        <v>714</v>
      </c>
      <c r="VO43" s="182" t="s">
        <v>714</v>
      </c>
      <c r="VP43" s="182" t="s">
        <v>763</v>
      </c>
      <c r="VQ43" s="182" t="s">
        <v>763</v>
      </c>
      <c r="VR43" s="182" t="s">
        <v>714</v>
      </c>
      <c r="VS43" s="182" t="s">
        <v>764</v>
      </c>
      <c r="VT43" s="182" t="s">
        <v>718</v>
      </c>
      <c r="VU43" s="182" t="s">
        <v>718</v>
      </c>
      <c r="VV43" s="182" t="s">
        <v>718</v>
      </c>
      <c r="VW43" s="182" t="s">
        <v>718</v>
      </c>
      <c r="VX43" s="182" t="s">
        <v>718</v>
      </c>
      <c r="VY43" s="182" t="s">
        <v>718</v>
      </c>
      <c r="VZ43" s="182" t="s">
        <v>718</v>
      </c>
      <c r="WA43" s="182" t="s">
        <v>718</v>
      </c>
      <c r="WB43" s="182" t="s">
        <v>727</v>
      </c>
      <c r="WC43" s="182" t="s">
        <v>714</v>
      </c>
      <c r="WD43" s="182" t="s">
        <v>714</v>
      </c>
      <c r="WE43" s="182" t="s">
        <v>764</v>
      </c>
      <c r="WF43" s="182" t="s">
        <v>764</v>
      </c>
      <c r="WG43" s="182" t="s">
        <v>759</v>
      </c>
      <c r="WH43" s="182" t="s">
        <v>759</v>
      </c>
      <c r="WI43" s="182" t="s">
        <v>759</v>
      </c>
      <c r="WJ43" s="182" t="s">
        <v>727</v>
      </c>
      <c r="WK43" s="182" t="s">
        <v>727</v>
      </c>
      <c r="WL43" s="182" t="s">
        <v>727</v>
      </c>
      <c r="WM43" s="182" t="s">
        <v>727</v>
      </c>
      <c r="WN43" s="182" t="s">
        <v>727</v>
      </c>
      <c r="WO43" s="182" t="s">
        <v>727</v>
      </c>
      <c r="WP43" s="182" t="s">
        <v>727</v>
      </c>
      <c r="WQ43" s="182" t="s">
        <v>727</v>
      </c>
      <c r="WR43" s="182" t="s">
        <v>727</v>
      </c>
      <c r="WS43" s="182" t="s">
        <v>727</v>
      </c>
      <c r="WT43" s="182" t="s">
        <v>727</v>
      </c>
      <c r="WU43" s="182" t="s">
        <v>764</v>
      </c>
      <c r="WV43" s="182" t="s">
        <v>764</v>
      </c>
      <c r="WW43" s="182" t="s">
        <v>719</v>
      </c>
      <c r="WX43" s="182" t="s">
        <v>714</v>
      </c>
      <c r="WY43" s="182" t="s">
        <v>718</v>
      </c>
      <c r="WZ43" s="182" t="s">
        <v>718</v>
      </c>
      <c r="XA43" s="182" t="s">
        <v>718</v>
      </c>
      <c r="XB43" s="182" t="s">
        <v>764</v>
      </c>
      <c r="XC43" s="182" t="s">
        <v>764</v>
      </c>
      <c r="XD43" s="182" t="s">
        <v>764</v>
      </c>
      <c r="XE43" s="182" t="s">
        <v>764</v>
      </c>
      <c r="XF43" s="182" t="s">
        <v>764</v>
      </c>
      <c r="XG43" s="182" t="s">
        <v>764</v>
      </c>
      <c r="XH43" s="182" t="s">
        <v>764</v>
      </c>
      <c r="XI43" s="182" t="s">
        <v>764</v>
      </c>
      <c r="XJ43" s="182" t="s">
        <v>765</v>
      </c>
      <c r="XK43" s="182" t="s">
        <v>633</v>
      </c>
      <c r="XL43" s="182" t="s">
        <v>633</v>
      </c>
      <c r="XM43" s="182" t="s">
        <v>753</v>
      </c>
      <c r="XN43" s="182" t="s">
        <v>753</v>
      </c>
      <c r="XO43" s="182" t="s">
        <v>753</v>
      </c>
      <c r="XP43" s="182" t="s">
        <v>714</v>
      </c>
      <c r="XQ43" s="182" t="s">
        <v>714</v>
      </c>
      <c r="XR43" s="182" t="s">
        <v>714</v>
      </c>
      <c r="XS43" s="182" t="s">
        <v>714</v>
      </c>
      <c r="XT43" s="182" t="s">
        <v>718</v>
      </c>
      <c r="XU43" s="182" t="s">
        <v>727</v>
      </c>
      <c r="XV43" s="182" t="s">
        <v>727</v>
      </c>
      <c r="XW43" s="182" t="s">
        <v>727</v>
      </c>
      <c r="XX43" s="182" t="s">
        <v>727</v>
      </c>
      <c r="XY43" s="182" t="s">
        <v>727</v>
      </c>
      <c r="XZ43" s="182" t="s">
        <v>727</v>
      </c>
      <c r="YA43" s="182" t="s">
        <v>727</v>
      </c>
      <c r="YB43" s="182" t="s">
        <v>727</v>
      </c>
      <c r="YC43" s="182" t="s">
        <v>718</v>
      </c>
      <c r="YD43" s="182" t="s">
        <v>765</v>
      </c>
      <c r="YE43" s="182" t="s">
        <v>765</v>
      </c>
      <c r="YF43" s="182" t="s">
        <v>766</v>
      </c>
      <c r="YG43" s="182" t="s">
        <v>766</v>
      </c>
      <c r="YH43" s="182" t="s">
        <v>714</v>
      </c>
      <c r="YI43" s="182" t="s">
        <v>584</v>
      </c>
      <c r="YJ43" s="182" t="s">
        <v>714</v>
      </c>
      <c r="YK43" s="182" t="s">
        <v>718</v>
      </c>
      <c r="YL43" s="182" t="s">
        <v>718</v>
      </c>
      <c r="YM43" s="182" t="s">
        <v>718</v>
      </c>
      <c r="YN43" s="182" t="s">
        <v>584</v>
      </c>
      <c r="YO43" s="182" t="s">
        <v>718</v>
      </c>
      <c r="YP43" s="182" t="s">
        <v>729</v>
      </c>
      <c r="YQ43" s="182" t="s">
        <v>724</v>
      </c>
      <c r="YR43" s="182" t="s">
        <v>724</v>
      </c>
      <c r="YS43" s="182" t="s">
        <v>724</v>
      </c>
      <c r="YT43" s="182" t="s">
        <v>736</v>
      </c>
      <c r="YU43" s="182" t="s">
        <v>736</v>
      </c>
      <c r="YV43" s="182" t="s">
        <v>736</v>
      </c>
      <c r="YW43" s="182" t="s">
        <v>736</v>
      </c>
      <c r="YX43" s="182" t="s">
        <v>736</v>
      </c>
      <c r="YY43" s="182" t="s">
        <v>736</v>
      </c>
      <c r="YZ43" s="182" t="s">
        <v>641</v>
      </c>
      <c r="ZA43" s="182" t="s">
        <v>759</v>
      </c>
      <c r="ZB43" s="182" t="s">
        <v>763</v>
      </c>
      <c r="ZC43" s="182" t="s">
        <v>763</v>
      </c>
      <c r="ZL43" s="182" t="str">
        <f t="shared" si="1"/>
        <v>BOSTON -LYON</v>
      </c>
      <c r="ZM43" s="183" t="s">
        <v>535</v>
      </c>
      <c r="ZN43" s="182" t="s">
        <v>517</v>
      </c>
      <c r="ZO43" s="182">
        <v>5842</v>
      </c>
      <c r="ZP43" s="198">
        <v>1302.7660000000001</v>
      </c>
      <c r="ZQ43" s="193"/>
      <c r="ZR43" s="193"/>
      <c r="ZS43" s="193"/>
      <c r="ZT43" s="193"/>
    </row>
    <row r="44" spans="1:696" s="192" customFormat="1" ht="28.8">
      <c r="A44" s="91"/>
      <c r="B44" s="91"/>
      <c r="C44" s="91"/>
      <c r="D44" s="735"/>
      <c r="E44" s="194" t="s">
        <v>339</v>
      </c>
      <c r="F44" s="183" t="s">
        <v>343</v>
      </c>
      <c r="G44" s="183" t="s">
        <v>343</v>
      </c>
      <c r="H44" s="183" t="s">
        <v>343</v>
      </c>
      <c r="I44" s="183" t="s">
        <v>343</v>
      </c>
      <c r="J44" s="183" t="s">
        <v>343</v>
      </c>
      <c r="K44" s="183" t="s">
        <v>343</v>
      </c>
      <c r="L44" s="183" t="s">
        <v>343</v>
      </c>
      <c r="M44" s="183" t="s">
        <v>343</v>
      </c>
      <c r="N44" s="183" t="s">
        <v>343</v>
      </c>
      <c r="O44" s="183" t="s">
        <v>343</v>
      </c>
      <c r="P44" s="183" t="s">
        <v>348</v>
      </c>
      <c r="Q44" s="183" t="s">
        <v>348</v>
      </c>
      <c r="R44" s="183" t="s">
        <v>348</v>
      </c>
      <c r="S44" s="183" t="s">
        <v>348</v>
      </c>
      <c r="T44" s="183" t="s">
        <v>348</v>
      </c>
      <c r="U44" s="183" t="s">
        <v>348</v>
      </c>
      <c r="V44" s="183" t="s">
        <v>348</v>
      </c>
      <c r="W44" s="183" t="s">
        <v>348</v>
      </c>
      <c r="X44" s="183" t="s">
        <v>348</v>
      </c>
      <c r="Y44" s="183" t="s">
        <v>348</v>
      </c>
      <c r="Z44" s="183" t="s">
        <v>348</v>
      </c>
      <c r="AA44" s="183" t="s">
        <v>348</v>
      </c>
      <c r="AB44" s="183" t="s">
        <v>356</v>
      </c>
      <c r="AC44" s="183" t="s">
        <v>356</v>
      </c>
      <c r="AD44" s="183" t="s">
        <v>348</v>
      </c>
      <c r="AE44" s="183" t="s">
        <v>343</v>
      </c>
      <c r="AF44" s="183" t="s">
        <v>343</v>
      </c>
      <c r="AG44" s="183" t="s">
        <v>343</v>
      </c>
      <c r="AH44" s="183" t="s">
        <v>356</v>
      </c>
      <c r="AI44" s="183" t="s">
        <v>348</v>
      </c>
      <c r="AJ44" s="183" t="s">
        <v>348</v>
      </c>
      <c r="AK44" s="183" t="s">
        <v>348</v>
      </c>
      <c r="AL44" s="183" t="s">
        <v>348</v>
      </c>
      <c r="AM44" s="183" t="s">
        <v>343</v>
      </c>
      <c r="AN44" s="183" t="s">
        <v>343</v>
      </c>
      <c r="AO44" s="183" t="s">
        <v>343</v>
      </c>
      <c r="AP44" s="183" t="s">
        <v>348</v>
      </c>
      <c r="AQ44" s="183" t="s">
        <v>348</v>
      </c>
      <c r="AR44" s="183" t="s">
        <v>348</v>
      </c>
      <c r="AS44" s="183" t="s">
        <v>348</v>
      </c>
      <c r="AT44" s="183" t="s">
        <v>348</v>
      </c>
      <c r="AU44" s="183" t="s">
        <v>348</v>
      </c>
      <c r="AV44" s="183" t="s">
        <v>348</v>
      </c>
      <c r="AW44" s="183" t="s">
        <v>348</v>
      </c>
      <c r="AX44" s="183" t="s">
        <v>348</v>
      </c>
      <c r="AY44" s="183" t="s">
        <v>348</v>
      </c>
      <c r="AZ44" s="183" t="s">
        <v>348</v>
      </c>
      <c r="BA44" s="183" t="s">
        <v>348</v>
      </c>
      <c r="BB44" s="183" t="s">
        <v>348</v>
      </c>
      <c r="BC44" s="183" t="s">
        <v>348</v>
      </c>
      <c r="BD44" s="183" t="s">
        <v>348</v>
      </c>
      <c r="BE44" s="183" t="s">
        <v>348</v>
      </c>
      <c r="BF44" s="183" t="s">
        <v>348</v>
      </c>
      <c r="BG44" s="183" t="s">
        <v>348</v>
      </c>
      <c r="BH44" s="183" t="s">
        <v>348</v>
      </c>
      <c r="BI44" s="183" t="s">
        <v>348</v>
      </c>
      <c r="BJ44" s="183" t="s">
        <v>348</v>
      </c>
      <c r="BK44" s="183" t="s">
        <v>348</v>
      </c>
      <c r="BL44" s="183" t="s">
        <v>348</v>
      </c>
      <c r="BM44" s="183" t="s">
        <v>348</v>
      </c>
      <c r="BN44" s="183" t="s">
        <v>348</v>
      </c>
      <c r="BO44" s="183" t="s">
        <v>348</v>
      </c>
      <c r="BP44" s="183" t="s">
        <v>348</v>
      </c>
      <c r="BQ44" s="183" t="s">
        <v>348</v>
      </c>
      <c r="BR44" s="183" t="s">
        <v>348</v>
      </c>
      <c r="BS44" s="183" t="s">
        <v>348</v>
      </c>
      <c r="BT44" s="183" t="s">
        <v>348</v>
      </c>
      <c r="BU44" s="183" t="s">
        <v>348</v>
      </c>
      <c r="BV44" s="183" t="s">
        <v>348</v>
      </c>
      <c r="BW44" s="183" t="s">
        <v>348</v>
      </c>
      <c r="BX44" s="183" t="s">
        <v>348</v>
      </c>
      <c r="BY44" s="183" t="s">
        <v>348</v>
      </c>
      <c r="BZ44" s="183" t="s">
        <v>348</v>
      </c>
      <c r="CA44" s="183" t="s">
        <v>348</v>
      </c>
      <c r="CB44" s="183" t="s">
        <v>348</v>
      </c>
      <c r="CC44" s="183" t="s">
        <v>348</v>
      </c>
      <c r="CD44" s="183" t="s">
        <v>348</v>
      </c>
      <c r="CE44" s="183" t="s">
        <v>348</v>
      </c>
      <c r="CF44" s="183" t="s">
        <v>348</v>
      </c>
      <c r="CG44" s="183" t="s">
        <v>348</v>
      </c>
      <c r="CH44" s="183" t="s">
        <v>348</v>
      </c>
      <c r="CI44" s="183" t="s">
        <v>348</v>
      </c>
      <c r="CJ44" s="183" t="s">
        <v>348</v>
      </c>
      <c r="CK44" s="183" t="s">
        <v>348</v>
      </c>
      <c r="CL44" s="183" t="s">
        <v>348</v>
      </c>
      <c r="CM44" s="183" t="s">
        <v>348</v>
      </c>
      <c r="CN44" s="183" t="s">
        <v>348</v>
      </c>
      <c r="CO44" s="183" t="s">
        <v>348</v>
      </c>
      <c r="CP44" s="183" t="s">
        <v>348</v>
      </c>
      <c r="CQ44" s="183" t="s">
        <v>348</v>
      </c>
      <c r="CR44" s="183" t="s">
        <v>348</v>
      </c>
      <c r="CS44" s="183" t="s">
        <v>348</v>
      </c>
      <c r="CT44" s="183" t="s">
        <v>348</v>
      </c>
      <c r="CU44" s="183" t="s">
        <v>348</v>
      </c>
      <c r="CV44" s="183" t="s">
        <v>348</v>
      </c>
      <c r="CW44" s="183" t="s">
        <v>348</v>
      </c>
      <c r="CX44" s="183" t="s">
        <v>348</v>
      </c>
      <c r="CY44" s="183" t="s">
        <v>348</v>
      </c>
      <c r="CZ44" s="183" t="s">
        <v>348</v>
      </c>
      <c r="DA44" s="183" t="s">
        <v>348</v>
      </c>
      <c r="DB44" s="183" t="s">
        <v>348</v>
      </c>
      <c r="DC44" s="183" t="s">
        <v>348</v>
      </c>
      <c r="DD44" s="183" t="s">
        <v>348</v>
      </c>
      <c r="DE44" s="183" t="s">
        <v>348</v>
      </c>
      <c r="DF44" s="183" t="s">
        <v>343</v>
      </c>
      <c r="DG44" s="183" t="s">
        <v>343</v>
      </c>
      <c r="DH44" s="183" t="s">
        <v>348</v>
      </c>
      <c r="DI44" s="183" t="s">
        <v>348</v>
      </c>
      <c r="DJ44" s="183" t="s">
        <v>348</v>
      </c>
      <c r="DK44" s="183" t="s">
        <v>348</v>
      </c>
      <c r="DL44" s="183" t="s">
        <v>348</v>
      </c>
      <c r="DM44" s="183" t="s">
        <v>356</v>
      </c>
      <c r="DN44" s="183" t="s">
        <v>356</v>
      </c>
      <c r="DO44" s="183" t="s">
        <v>343</v>
      </c>
      <c r="DP44" s="183" t="s">
        <v>343</v>
      </c>
      <c r="DQ44" s="183" t="s">
        <v>343</v>
      </c>
      <c r="DR44" s="183" t="s">
        <v>356</v>
      </c>
      <c r="DS44" s="183" t="s">
        <v>356</v>
      </c>
      <c r="DT44" s="183" t="s">
        <v>348</v>
      </c>
      <c r="DU44" s="183" t="s">
        <v>348</v>
      </c>
      <c r="DV44" s="183" t="s">
        <v>348</v>
      </c>
      <c r="DW44" s="183" t="s">
        <v>348</v>
      </c>
      <c r="DX44" s="183" t="s">
        <v>348</v>
      </c>
      <c r="DY44" s="183" t="s">
        <v>348</v>
      </c>
      <c r="DZ44" s="183" t="s">
        <v>348</v>
      </c>
      <c r="EA44" s="183" t="s">
        <v>348</v>
      </c>
      <c r="EB44" s="183" t="s">
        <v>348</v>
      </c>
      <c r="EC44" s="183" t="s">
        <v>348</v>
      </c>
      <c r="ED44" s="183" t="s">
        <v>348</v>
      </c>
      <c r="EE44" s="183" t="s">
        <v>348</v>
      </c>
      <c r="EF44" s="183" t="s">
        <v>356</v>
      </c>
      <c r="EG44" s="183" t="s">
        <v>356</v>
      </c>
      <c r="EH44" s="183" t="s">
        <v>356</v>
      </c>
      <c r="EI44" s="183" t="s">
        <v>356</v>
      </c>
      <c r="EJ44" s="183" t="s">
        <v>343</v>
      </c>
      <c r="EK44" s="183" t="s">
        <v>356</v>
      </c>
      <c r="EL44" s="183" t="s">
        <v>356</v>
      </c>
      <c r="EM44" s="183" t="s">
        <v>356</v>
      </c>
      <c r="EN44" s="183" t="s">
        <v>356</v>
      </c>
      <c r="EO44" s="183" t="s">
        <v>356</v>
      </c>
      <c r="EP44" s="183" t="s">
        <v>356</v>
      </c>
      <c r="EQ44" s="183" t="s">
        <v>356</v>
      </c>
      <c r="ER44" s="183" t="s">
        <v>348</v>
      </c>
      <c r="ES44" s="183" t="s">
        <v>348</v>
      </c>
      <c r="ET44" s="183" t="s">
        <v>348</v>
      </c>
      <c r="EU44" s="183" t="s">
        <v>348</v>
      </c>
      <c r="EV44" s="183" t="s">
        <v>348</v>
      </c>
      <c r="EW44" s="183" t="s">
        <v>348</v>
      </c>
      <c r="EX44" s="183" t="s">
        <v>348</v>
      </c>
      <c r="EY44" s="183" t="s">
        <v>348</v>
      </c>
      <c r="EZ44" s="183" t="s">
        <v>348</v>
      </c>
      <c r="FA44" s="183" t="s">
        <v>356</v>
      </c>
      <c r="FB44" s="183" t="s">
        <v>356</v>
      </c>
      <c r="FC44" s="183" t="s">
        <v>343</v>
      </c>
      <c r="FD44" s="183" t="s">
        <v>343</v>
      </c>
      <c r="FE44" s="183" t="s">
        <v>348</v>
      </c>
      <c r="FF44" s="183" t="s">
        <v>348</v>
      </c>
      <c r="FG44" s="183" t="s">
        <v>348</v>
      </c>
      <c r="FH44" s="183" t="s">
        <v>348</v>
      </c>
      <c r="FI44" s="183" t="s">
        <v>348</v>
      </c>
      <c r="FJ44" s="183" t="s">
        <v>348</v>
      </c>
      <c r="FK44" s="183" t="s">
        <v>348</v>
      </c>
      <c r="FL44" s="183" t="s">
        <v>348</v>
      </c>
      <c r="FM44" s="183" t="s">
        <v>348</v>
      </c>
      <c r="FN44" s="183" t="s">
        <v>348</v>
      </c>
      <c r="FO44" s="183" t="s">
        <v>348</v>
      </c>
      <c r="FP44" s="183" t="s">
        <v>348</v>
      </c>
      <c r="FQ44" s="183" t="s">
        <v>348</v>
      </c>
      <c r="FR44" s="183" t="s">
        <v>348</v>
      </c>
      <c r="FS44" s="183" t="s">
        <v>348</v>
      </c>
      <c r="FT44" s="183" t="s">
        <v>348</v>
      </c>
      <c r="FU44" s="183" t="s">
        <v>348</v>
      </c>
      <c r="FV44" s="183" t="s">
        <v>348</v>
      </c>
      <c r="FW44" s="183" t="s">
        <v>348</v>
      </c>
      <c r="FX44" s="183" t="s">
        <v>348</v>
      </c>
      <c r="FY44" s="183" t="s">
        <v>348</v>
      </c>
      <c r="FZ44" s="183" t="s">
        <v>348</v>
      </c>
      <c r="GA44" s="183" t="s">
        <v>356</v>
      </c>
      <c r="GB44" s="183" t="s">
        <v>356</v>
      </c>
      <c r="GC44" s="183" t="s">
        <v>356</v>
      </c>
      <c r="GD44" s="183" t="s">
        <v>356</v>
      </c>
      <c r="GE44" s="183" t="s">
        <v>356</v>
      </c>
      <c r="GF44" s="183" t="s">
        <v>356</v>
      </c>
      <c r="GG44" s="183" t="s">
        <v>356</v>
      </c>
      <c r="GH44" s="183" t="s">
        <v>356</v>
      </c>
      <c r="GI44" s="183" t="s">
        <v>356</v>
      </c>
      <c r="GJ44" s="183" t="s">
        <v>356</v>
      </c>
      <c r="GK44" s="183" t="s">
        <v>356</v>
      </c>
      <c r="GL44" s="183" t="s">
        <v>356</v>
      </c>
      <c r="GM44" s="183" t="s">
        <v>356</v>
      </c>
      <c r="GN44" s="183" t="s">
        <v>356</v>
      </c>
      <c r="GO44" s="183" t="s">
        <v>356</v>
      </c>
      <c r="GP44" s="183" t="s">
        <v>356</v>
      </c>
      <c r="GQ44" s="183" t="s">
        <v>348</v>
      </c>
      <c r="GR44" s="183" t="s">
        <v>348</v>
      </c>
      <c r="GS44" s="183" t="s">
        <v>348</v>
      </c>
      <c r="GT44" s="183" t="s">
        <v>356</v>
      </c>
      <c r="GU44" s="183" t="s">
        <v>356</v>
      </c>
      <c r="GV44" s="183" t="s">
        <v>348</v>
      </c>
      <c r="GW44" s="183" t="s">
        <v>348</v>
      </c>
      <c r="GX44" s="183" t="s">
        <v>348</v>
      </c>
      <c r="GY44" s="183" t="s">
        <v>348</v>
      </c>
      <c r="GZ44" s="183" t="s">
        <v>348</v>
      </c>
      <c r="HA44" s="183" t="s">
        <v>348</v>
      </c>
      <c r="HB44" s="183" t="s">
        <v>356</v>
      </c>
      <c r="HC44" s="183" t="s">
        <v>356</v>
      </c>
      <c r="HD44" s="183" t="s">
        <v>356</v>
      </c>
      <c r="HE44" s="183" t="s">
        <v>348</v>
      </c>
      <c r="HF44" s="183" t="s">
        <v>356</v>
      </c>
      <c r="HG44" s="183" t="s">
        <v>348</v>
      </c>
      <c r="HH44" s="183" t="s">
        <v>348</v>
      </c>
      <c r="HI44" s="183" t="s">
        <v>348</v>
      </c>
      <c r="HJ44" s="183" t="s">
        <v>348</v>
      </c>
      <c r="HK44" s="183" t="s">
        <v>343</v>
      </c>
      <c r="HL44" s="183" t="s">
        <v>343</v>
      </c>
      <c r="HM44" s="183" t="s">
        <v>348</v>
      </c>
      <c r="HN44" s="183" t="s">
        <v>348</v>
      </c>
      <c r="HO44" s="183" t="s">
        <v>348</v>
      </c>
      <c r="HP44" s="183" t="s">
        <v>348</v>
      </c>
      <c r="HQ44" s="183" t="s">
        <v>356</v>
      </c>
      <c r="HR44" s="183" t="s">
        <v>348</v>
      </c>
      <c r="HS44" s="183" t="s">
        <v>348</v>
      </c>
      <c r="HT44" s="183" t="s">
        <v>348</v>
      </c>
      <c r="HU44" s="183" t="s">
        <v>348</v>
      </c>
      <c r="HV44" s="183" t="s">
        <v>348</v>
      </c>
      <c r="HW44" s="183" t="s">
        <v>348</v>
      </c>
      <c r="HX44" s="183" t="s">
        <v>348</v>
      </c>
      <c r="HY44" s="183" t="s">
        <v>348</v>
      </c>
      <c r="HZ44" s="183" t="s">
        <v>348</v>
      </c>
      <c r="IA44" s="183" t="s">
        <v>348</v>
      </c>
      <c r="IB44" s="183" t="s">
        <v>348</v>
      </c>
      <c r="IC44" s="183" t="s">
        <v>348</v>
      </c>
      <c r="ID44" s="183" t="s">
        <v>348</v>
      </c>
      <c r="IE44" s="183" t="s">
        <v>356</v>
      </c>
      <c r="IF44" s="183" t="s">
        <v>356</v>
      </c>
      <c r="IG44" s="183" t="s">
        <v>356</v>
      </c>
      <c r="IH44" s="183" t="s">
        <v>356</v>
      </c>
      <c r="II44" s="183" t="s">
        <v>356</v>
      </c>
      <c r="IJ44" s="183" t="s">
        <v>356</v>
      </c>
      <c r="IK44" s="183" t="s">
        <v>356</v>
      </c>
      <c r="IL44" s="183" t="s">
        <v>356</v>
      </c>
      <c r="IM44" s="183" t="s">
        <v>356</v>
      </c>
      <c r="IN44" s="183" t="s">
        <v>356</v>
      </c>
      <c r="IO44" s="183" t="s">
        <v>356</v>
      </c>
      <c r="IP44" s="183" t="s">
        <v>356</v>
      </c>
      <c r="IQ44" s="183" t="s">
        <v>356</v>
      </c>
      <c r="IR44" s="183" t="s">
        <v>348</v>
      </c>
      <c r="IS44" s="183" t="s">
        <v>356</v>
      </c>
      <c r="IT44" s="183" t="s">
        <v>356</v>
      </c>
      <c r="IU44" s="183" t="s">
        <v>348</v>
      </c>
      <c r="IV44" s="183" t="s">
        <v>348</v>
      </c>
      <c r="IW44" s="183" t="s">
        <v>348</v>
      </c>
      <c r="IX44" s="183" t="s">
        <v>348</v>
      </c>
      <c r="IY44" s="183" t="s">
        <v>348</v>
      </c>
      <c r="IZ44" s="183" t="s">
        <v>356</v>
      </c>
      <c r="JA44" s="183" t="s">
        <v>356</v>
      </c>
      <c r="JB44" s="183" t="s">
        <v>356</v>
      </c>
      <c r="JC44" s="183" t="s">
        <v>356</v>
      </c>
      <c r="JD44" s="183" t="s">
        <v>356</v>
      </c>
      <c r="JE44" s="183" t="s">
        <v>356</v>
      </c>
      <c r="JF44" s="183" t="s">
        <v>348</v>
      </c>
      <c r="JG44" s="183" t="s">
        <v>356</v>
      </c>
      <c r="JH44" s="183" t="s">
        <v>356</v>
      </c>
      <c r="JI44" s="183" t="s">
        <v>348</v>
      </c>
      <c r="JJ44" s="183" t="s">
        <v>348</v>
      </c>
      <c r="JK44" s="183" t="s">
        <v>356</v>
      </c>
      <c r="JL44" s="183" t="s">
        <v>356</v>
      </c>
      <c r="JM44" s="183" t="s">
        <v>356</v>
      </c>
      <c r="JN44" s="183" t="s">
        <v>356</v>
      </c>
      <c r="JO44" s="183" t="s">
        <v>356</v>
      </c>
      <c r="JP44" s="183" t="s">
        <v>356</v>
      </c>
      <c r="JQ44" s="183" t="s">
        <v>356</v>
      </c>
      <c r="JR44" s="183" t="s">
        <v>348</v>
      </c>
      <c r="JS44" s="183" t="s">
        <v>348</v>
      </c>
      <c r="JT44" s="183" t="s">
        <v>356</v>
      </c>
      <c r="JU44" s="183" t="s">
        <v>356</v>
      </c>
      <c r="JV44" s="183" t="s">
        <v>356</v>
      </c>
      <c r="JW44" s="183" t="s">
        <v>356</v>
      </c>
      <c r="JX44" s="183" t="s">
        <v>356</v>
      </c>
      <c r="JY44" s="183" t="s">
        <v>356</v>
      </c>
      <c r="JZ44" s="183" t="s">
        <v>356</v>
      </c>
      <c r="KA44" s="183" t="s">
        <v>356</v>
      </c>
      <c r="KB44" s="183" t="s">
        <v>343</v>
      </c>
      <c r="KC44" s="183" t="s">
        <v>343</v>
      </c>
      <c r="KD44" s="183" t="s">
        <v>356</v>
      </c>
      <c r="KE44" s="183" t="s">
        <v>356</v>
      </c>
      <c r="KF44" s="183" t="s">
        <v>356</v>
      </c>
      <c r="KG44" s="183" t="s">
        <v>356</v>
      </c>
      <c r="KH44" s="183" t="s">
        <v>348</v>
      </c>
      <c r="KI44" s="183" t="s">
        <v>348</v>
      </c>
      <c r="KJ44" s="183" t="s">
        <v>348</v>
      </c>
      <c r="KK44" s="183" t="s">
        <v>348</v>
      </c>
      <c r="KL44" s="183" t="s">
        <v>343</v>
      </c>
      <c r="KM44" s="183" t="s">
        <v>343</v>
      </c>
      <c r="KN44" s="183" t="s">
        <v>343</v>
      </c>
      <c r="KO44" s="183" t="s">
        <v>343</v>
      </c>
      <c r="KP44" s="183" t="s">
        <v>343</v>
      </c>
      <c r="KQ44" s="183" t="s">
        <v>343</v>
      </c>
      <c r="KR44" s="183" t="s">
        <v>343</v>
      </c>
      <c r="KS44" s="183" t="s">
        <v>356</v>
      </c>
      <c r="KT44" s="183" t="s">
        <v>356</v>
      </c>
      <c r="KU44" s="183" t="s">
        <v>356</v>
      </c>
      <c r="KV44" s="183" t="s">
        <v>356</v>
      </c>
      <c r="KW44" s="183" t="s">
        <v>356</v>
      </c>
      <c r="KX44" s="183" t="s">
        <v>356</v>
      </c>
      <c r="KY44" s="183" t="s">
        <v>356</v>
      </c>
      <c r="KZ44" s="183" t="s">
        <v>356</v>
      </c>
      <c r="LA44" s="183" t="s">
        <v>356</v>
      </c>
      <c r="LB44" s="183" t="s">
        <v>356</v>
      </c>
      <c r="LC44" s="183" t="s">
        <v>356</v>
      </c>
      <c r="LD44" s="183" t="s">
        <v>356</v>
      </c>
      <c r="LE44" s="183" t="s">
        <v>356</v>
      </c>
      <c r="LF44" s="183" t="s">
        <v>348</v>
      </c>
      <c r="LG44" s="183" t="s">
        <v>348</v>
      </c>
      <c r="LH44" s="183" t="s">
        <v>348</v>
      </c>
      <c r="LI44" s="183" t="s">
        <v>348</v>
      </c>
      <c r="LJ44" s="183" t="s">
        <v>348</v>
      </c>
      <c r="LK44" s="183" t="s">
        <v>348</v>
      </c>
      <c r="LL44" s="183" t="s">
        <v>348</v>
      </c>
      <c r="LM44" s="183" t="s">
        <v>348</v>
      </c>
      <c r="LN44" s="183" t="s">
        <v>348</v>
      </c>
      <c r="LO44" s="183" t="s">
        <v>348</v>
      </c>
      <c r="LP44" s="183" t="s">
        <v>348</v>
      </c>
      <c r="LQ44" s="183" t="s">
        <v>348</v>
      </c>
      <c r="LR44" s="183" t="s">
        <v>348</v>
      </c>
      <c r="LS44" s="183" t="s">
        <v>343</v>
      </c>
      <c r="LT44" s="183" t="s">
        <v>343</v>
      </c>
      <c r="LU44" s="183" t="s">
        <v>356</v>
      </c>
      <c r="LV44" s="183" t="s">
        <v>356</v>
      </c>
      <c r="LW44" s="183" t="s">
        <v>356</v>
      </c>
      <c r="LX44" s="183" t="s">
        <v>356</v>
      </c>
      <c r="LY44" s="183" t="s">
        <v>343</v>
      </c>
      <c r="LZ44" s="183" t="s">
        <v>356</v>
      </c>
      <c r="MA44" s="183" t="s">
        <v>356</v>
      </c>
      <c r="MB44" s="183" t="s">
        <v>343</v>
      </c>
      <c r="MC44" s="183" t="s">
        <v>343</v>
      </c>
      <c r="MD44" s="183" t="s">
        <v>343</v>
      </c>
      <c r="ME44" s="183" t="s">
        <v>343</v>
      </c>
      <c r="MF44" s="183" t="s">
        <v>343</v>
      </c>
      <c r="MG44" s="183" t="s">
        <v>343</v>
      </c>
      <c r="MH44" s="183" t="s">
        <v>343</v>
      </c>
      <c r="MI44" s="183" t="s">
        <v>343</v>
      </c>
      <c r="MJ44" s="183" t="s">
        <v>343</v>
      </c>
      <c r="MK44" s="183" t="s">
        <v>343</v>
      </c>
      <c r="ML44" s="183" t="s">
        <v>356</v>
      </c>
      <c r="MM44" s="183" t="s">
        <v>356</v>
      </c>
      <c r="MN44" s="183" t="s">
        <v>356</v>
      </c>
      <c r="MO44" s="183" t="s">
        <v>356</v>
      </c>
      <c r="MP44" s="183" t="s">
        <v>356</v>
      </c>
      <c r="MQ44" s="183" t="s">
        <v>356</v>
      </c>
      <c r="MR44" s="183" t="s">
        <v>356</v>
      </c>
      <c r="MS44" s="183" t="s">
        <v>356</v>
      </c>
      <c r="MT44" s="183" t="s">
        <v>356</v>
      </c>
      <c r="MU44" s="183" t="s">
        <v>356</v>
      </c>
      <c r="MV44" s="183" t="s">
        <v>356</v>
      </c>
      <c r="MW44" s="183" t="s">
        <v>356</v>
      </c>
      <c r="MX44" s="183" t="s">
        <v>356</v>
      </c>
      <c r="MY44" s="183" t="s">
        <v>356</v>
      </c>
      <c r="MZ44" s="183" t="s">
        <v>356</v>
      </c>
      <c r="NA44" s="183" t="s">
        <v>356</v>
      </c>
      <c r="NB44" s="183" t="s">
        <v>356</v>
      </c>
      <c r="NC44" s="183" t="s">
        <v>356</v>
      </c>
      <c r="ND44" s="183" t="s">
        <v>356</v>
      </c>
      <c r="NE44" s="183" t="s">
        <v>356</v>
      </c>
      <c r="NF44" s="183" t="s">
        <v>356</v>
      </c>
      <c r="NG44" s="183" t="s">
        <v>356</v>
      </c>
      <c r="NH44" s="183" t="s">
        <v>356</v>
      </c>
      <c r="NI44" s="183" t="s">
        <v>356</v>
      </c>
      <c r="NJ44" s="183" t="s">
        <v>356</v>
      </c>
      <c r="NK44" s="183" t="s">
        <v>356</v>
      </c>
      <c r="NL44" s="183" t="s">
        <v>356</v>
      </c>
      <c r="NM44" s="183" t="s">
        <v>356</v>
      </c>
      <c r="NN44" s="183" t="s">
        <v>356</v>
      </c>
      <c r="NO44" s="183" t="s">
        <v>356</v>
      </c>
      <c r="NP44" s="183" t="s">
        <v>356</v>
      </c>
      <c r="NQ44" s="183" t="s">
        <v>356</v>
      </c>
      <c r="NR44" s="183" t="s">
        <v>356</v>
      </c>
      <c r="NS44" s="183" t="s">
        <v>356</v>
      </c>
      <c r="NT44" s="183" t="s">
        <v>356</v>
      </c>
      <c r="NU44" s="183" t="s">
        <v>356</v>
      </c>
      <c r="NV44" s="183" t="s">
        <v>356</v>
      </c>
      <c r="NW44" s="183" t="s">
        <v>356</v>
      </c>
      <c r="NX44" s="183" t="s">
        <v>356</v>
      </c>
      <c r="NY44" s="183" t="s">
        <v>356</v>
      </c>
      <c r="NZ44" s="183" t="s">
        <v>356</v>
      </c>
      <c r="OA44" s="183" t="s">
        <v>356</v>
      </c>
      <c r="OB44" s="183" t="s">
        <v>356</v>
      </c>
      <c r="OC44" s="183" t="s">
        <v>343</v>
      </c>
      <c r="OD44" s="183" t="s">
        <v>343</v>
      </c>
      <c r="OE44" s="183" t="s">
        <v>356</v>
      </c>
      <c r="OF44" s="183" t="s">
        <v>356</v>
      </c>
      <c r="OG44" s="183" t="s">
        <v>356</v>
      </c>
      <c r="OH44" s="183" t="s">
        <v>343</v>
      </c>
      <c r="OI44" s="183" t="s">
        <v>343</v>
      </c>
      <c r="OJ44" s="183" t="s">
        <v>343</v>
      </c>
      <c r="OK44" s="183" t="s">
        <v>343</v>
      </c>
      <c r="OL44" s="183" t="s">
        <v>343</v>
      </c>
      <c r="OM44" s="183" t="s">
        <v>343</v>
      </c>
      <c r="ON44" s="183" t="s">
        <v>356</v>
      </c>
      <c r="OO44" s="183" t="s">
        <v>356</v>
      </c>
      <c r="OP44" s="183" t="s">
        <v>356</v>
      </c>
      <c r="OQ44" s="183" t="s">
        <v>356</v>
      </c>
      <c r="OR44" s="183" t="s">
        <v>356</v>
      </c>
      <c r="OS44" s="183" t="s">
        <v>356</v>
      </c>
      <c r="OT44" s="183" t="s">
        <v>356</v>
      </c>
      <c r="OU44" s="183" t="s">
        <v>356</v>
      </c>
      <c r="OV44" s="183" t="s">
        <v>356</v>
      </c>
      <c r="OW44" s="183" t="s">
        <v>356</v>
      </c>
      <c r="OX44" s="183" t="s">
        <v>356</v>
      </c>
      <c r="OY44" s="183" t="s">
        <v>356</v>
      </c>
      <c r="OZ44" s="183" t="s">
        <v>356</v>
      </c>
      <c r="PA44" s="183" t="s">
        <v>356</v>
      </c>
      <c r="PB44" s="183" t="s">
        <v>356</v>
      </c>
      <c r="PC44" s="183" t="s">
        <v>343</v>
      </c>
      <c r="PD44" s="183" t="s">
        <v>343</v>
      </c>
      <c r="PE44" s="183" t="s">
        <v>343</v>
      </c>
      <c r="PF44" s="183" t="s">
        <v>343</v>
      </c>
      <c r="PG44" s="183" t="s">
        <v>343</v>
      </c>
      <c r="PH44" s="183" t="s">
        <v>343</v>
      </c>
      <c r="PI44" s="183" t="s">
        <v>356</v>
      </c>
      <c r="PJ44" s="183" t="s">
        <v>356</v>
      </c>
      <c r="PK44" s="183" t="s">
        <v>356</v>
      </c>
      <c r="PL44" s="183" t="s">
        <v>356</v>
      </c>
      <c r="PM44" s="183" t="s">
        <v>356</v>
      </c>
      <c r="PN44" s="183" t="s">
        <v>356</v>
      </c>
      <c r="PO44" s="183" t="s">
        <v>356</v>
      </c>
      <c r="PP44" s="183" t="s">
        <v>356</v>
      </c>
      <c r="PQ44" s="183" t="s">
        <v>356</v>
      </c>
      <c r="PR44" s="183" t="s">
        <v>356</v>
      </c>
      <c r="PS44" s="183" t="s">
        <v>356</v>
      </c>
      <c r="PT44" s="183" t="s">
        <v>356</v>
      </c>
      <c r="PU44" s="183" t="s">
        <v>343</v>
      </c>
      <c r="PV44" s="183" t="s">
        <v>343</v>
      </c>
      <c r="PW44" s="183" t="s">
        <v>343</v>
      </c>
      <c r="PX44" s="183" t="s">
        <v>343</v>
      </c>
      <c r="PY44" s="183" t="s">
        <v>356</v>
      </c>
      <c r="PZ44" s="183" t="s">
        <v>343</v>
      </c>
      <c r="QA44" s="183" t="s">
        <v>343</v>
      </c>
      <c r="QB44" s="183" t="s">
        <v>343</v>
      </c>
      <c r="QC44" s="183" t="s">
        <v>343</v>
      </c>
      <c r="QD44" s="183" t="s">
        <v>343</v>
      </c>
      <c r="QE44" s="183" t="s">
        <v>343</v>
      </c>
      <c r="QF44" s="183" t="s">
        <v>343</v>
      </c>
      <c r="QG44" s="183" t="s">
        <v>343</v>
      </c>
      <c r="QH44" s="183" t="s">
        <v>343</v>
      </c>
      <c r="QI44" s="183" t="s">
        <v>343</v>
      </c>
      <c r="QJ44" s="183" t="s">
        <v>343</v>
      </c>
      <c r="QK44" s="183" t="s">
        <v>343</v>
      </c>
      <c r="QL44" s="183" t="s">
        <v>356</v>
      </c>
      <c r="QM44" s="183" t="s">
        <v>356</v>
      </c>
      <c r="QN44" s="183" t="s">
        <v>356</v>
      </c>
      <c r="QO44" s="183" t="s">
        <v>356</v>
      </c>
      <c r="QP44" s="183" t="s">
        <v>356</v>
      </c>
      <c r="QQ44" s="183" t="s">
        <v>356</v>
      </c>
      <c r="QR44" s="183" t="s">
        <v>356</v>
      </c>
      <c r="QS44" s="183" t="s">
        <v>356</v>
      </c>
      <c r="QT44" s="183" t="s">
        <v>356</v>
      </c>
      <c r="QU44" s="183" t="s">
        <v>343</v>
      </c>
      <c r="QV44" s="183" t="s">
        <v>343</v>
      </c>
      <c r="QW44" s="183" t="s">
        <v>343</v>
      </c>
      <c r="QX44" s="183" t="s">
        <v>343</v>
      </c>
      <c r="QY44" s="183" t="s">
        <v>343</v>
      </c>
      <c r="QZ44" s="183" t="s">
        <v>343</v>
      </c>
      <c r="RA44" s="183" t="s">
        <v>343</v>
      </c>
      <c r="RB44" s="183" t="s">
        <v>343</v>
      </c>
      <c r="RC44" s="183" t="s">
        <v>343</v>
      </c>
      <c r="RD44" s="183" t="s">
        <v>356</v>
      </c>
      <c r="RE44" s="183" t="s">
        <v>356</v>
      </c>
      <c r="RF44" s="183" t="s">
        <v>356</v>
      </c>
      <c r="RG44" s="183" t="s">
        <v>343</v>
      </c>
      <c r="RH44" s="183" t="s">
        <v>343</v>
      </c>
      <c r="RI44" s="183" t="s">
        <v>356</v>
      </c>
      <c r="RJ44" s="183" t="s">
        <v>356</v>
      </c>
      <c r="RK44" s="183" t="s">
        <v>356</v>
      </c>
      <c r="RL44" s="183" t="s">
        <v>356</v>
      </c>
      <c r="RM44" s="183" t="s">
        <v>343</v>
      </c>
      <c r="RN44" s="183" t="s">
        <v>343</v>
      </c>
      <c r="RO44" s="183" t="s">
        <v>343</v>
      </c>
      <c r="RP44" s="183" t="s">
        <v>343</v>
      </c>
      <c r="RQ44" s="183" t="s">
        <v>343</v>
      </c>
      <c r="RR44" s="183" t="s">
        <v>343</v>
      </c>
      <c r="RS44" s="183" t="s">
        <v>343</v>
      </c>
      <c r="RT44" s="183" t="s">
        <v>343</v>
      </c>
      <c r="RU44" s="183" t="s">
        <v>343</v>
      </c>
      <c r="RV44" s="183" t="s">
        <v>343</v>
      </c>
      <c r="RW44" s="183" t="s">
        <v>343</v>
      </c>
      <c r="RX44" s="183" t="s">
        <v>343</v>
      </c>
      <c r="RY44" s="183" t="s">
        <v>343</v>
      </c>
      <c r="RZ44" s="183" t="s">
        <v>343</v>
      </c>
      <c r="SA44" s="183" t="s">
        <v>343</v>
      </c>
      <c r="SB44" s="183" t="s">
        <v>343</v>
      </c>
      <c r="SC44" s="183" t="s">
        <v>343</v>
      </c>
      <c r="SD44" s="183" t="s">
        <v>343</v>
      </c>
      <c r="SE44" s="183" t="s">
        <v>343</v>
      </c>
      <c r="SF44" s="183" t="s">
        <v>343</v>
      </c>
      <c r="SG44" s="183" t="s">
        <v>356</v>
      </c>
      <c r="SH44" s="183" t="s">
        <v>343</v>
      </c>
      <c r="SI44" s="183" t="s">
        <v>356</v>
      </c>
      <c r="SJ44" s="183" t="s">
        <v>356</v>
      </c>
      <c r="SK44" s="183" t="s">
        <v>343</v>
      </c>
      <c r="SL44" s="183" t="s">
        <v>343</v>
      </c>
      <c r="SM44" s="183" t="s">
        <v>343</v>
      </c>
      <c r="SN44" s="183" t="s">
        <v>356</v>
      </c>
      <c r="SO44" s="183" t="s">
        <v>343</v>
      </c>
      <c r="SP44" s="183" t="s">
        <v>343</v>
      </c>
      <c r="SQ44" s="183" t="s">
        <v>343</v>
      </c>
      <c r="SR44" s="183" t="s">
        <v>343</v>
      </c>
      <c r="SS44" s="183" t="s">
        <v>343</v>
      </c>
      <c r="ST44" s="183" t="s">
        <v>343</v>
      </c>
      <c r="SU44" s="183" t="s">
        <v>343</v>
      </c>
      <c r="SV44" s="183" t="s">
        <v>343</v>
      </c>
      <c r="SW44" s="183" t="s">
        <v>343</v>
      </c>
      <c r="SX44" s="183" t="s">
        <v>343</v>
      </c>
      <c r="SY44" s="183" t="s">
        <v>343</v>
      </c>
      <c r="SZ44" s="183" t="s">
        <v>343</v>
      </c>
      <c r="TA44" s="183" t="s">
        <v>343</v>
      </c>
      <c r="TB44" s="183" t="s">
        <v>343</v>
      </c>
      <c r="TC44" s="183" t="s">
        <v>343</v>
      </c>
      <c r="TD44" s="183" t="s">
        <v>343</v>
      </c>
      <c r="TE44" s="183" t="s">
        <v>343</v>
      </c>
      <c r="TF44" s="183" t="s">
        <v>343</v>
      </c>
      <c r="TG44" s="183" t="s">
        <v>343</v>
      </c>
      <c r="TH44" s="183" t="s">
        <v>343</v>
      </c>
      <c r="TI44" s="183" t="s">
        <v>343</v>
      </c>
      <c r="TJ44" s="183" t="s">
        <v>343</v>
      </c>
      <c r="TK44" s="183" t="s">
        <v>343</v>
      </c>
      <c r="TL44" s="183" t="s">
        <v>356</v>
      </c>
      <c r="TM44" s="183" t="s">
        <v>343</v>
      </c>
      <c r="TN44" s="183" t="s">
        <v>343</v>
      </c>
      <c r="TO44" s="183" t="s">
        <v>343</v>
      </c>
      <c r="TP44" s="183" t="s">
        <v>343</v>
      </c>
      <c r="TQ44" s="183" t="s">
        <v>343</v>
      </c>
      <c r="TR44" s="183" t="s">
        <v>343</v>
      </c>
      <c r="TS44" s="183" t="s">
        <v>343</v>
      </c>
      <c r="TT44" s="183" t="s">
        <v>343</v>
      </c>
      <c r="TU44" s="183" t="s">
        <v>343</v>
      </c>
      <c r="TV44" s="183" t="s">
        <v>343</v>
      </c>
      <c r="TW44" s="183" t="s">
        <v>343</v>
      </c>
      <c r="TX44" s="183" t="s">
        <v>343</v>
      </c>
      <c r="TY44" s="183" t="s">
        <v>343</v>
      </c>
      <c r="TZ44" s="183" t="s">
        <v>343</v>
      </c>
      <c r="UA44" s="183" t="s">
        <v>343</v>
      </c>
      <c r="UB44" s="183" t="s">
        <v>343</v>
      </c>
      <c r="UC44" s="183" t="s">
        <v>343</v>
      </c>
      <c r="UD44" s="183" t="s">
        <v>343</v>
      </c>
      <c r="UE44" s="183" t="s">
        <v>343</v>
      </c>
      <c r="UF44" s="183" t="s">
        <v>343</v>
      </c>
      <c r="UG44" s="183" t="s">
        <v>343</v>
      </c>
      <c r="UH44" s="183" t="s">
        <v>343</v>
      </c>
      <c r="UI44" s="183" t="s">
        <v>343</v>
      </c>
      <c r="UJ44" s="183" t="s">
        <v>343</v>
      </c>
      <c r="UK44" s="183" t="s">
        <v>343</v>
      </c>
      <c r="UL44" s="183" t="s">
        <v>343</v>
      </c>
      <c r="UM44" s="183" t="s">
        <v>343</v>
      </c>
      <c r="UN44" s="183" t="s">
        <v>343</v>
      </c>
      <c r="UO44" s="183" t="s">
        <v>343</v>
      </c>
      <c r="UP44" s="183" t="s">
        <v>343</v>
      </c>
      <c r="UQ44" s="183" t="s">
        <v>343</v>
      </c>
      <c r="UR44" s="183" t="s">
        <v>343</v>
      </c>
      <c r="US44" s="183" t="s">
        <v>356</v>
      </c>
      <c r="UT44" s="183" t="s">
        <v>343</v>
      </c>
      <c r="UU44" s="183" t="s">
        <v>343</v>
      </c>
      <c r="UV44" s="183" t="s">
        <v>343</v>
      </c>
      <c r="UW44" s="183" t="s">
        <v>356</v>
      </c>
      <c r="UX44" s="183" t="s">
        <v>356</v>
      </c>
      <c r="UY44" s="183" t="s">
        <v>356</v>
      </c>
      <c r="UZ44" s="183" t="s">
        <v>356</v>
      </c>
      <c r="VA44" s="183" t="s">
        <v>356</v>
      </c>
      <c r="VB44" s="183" t="s">
        <v>356</v>
      </c>
      <c r="VC44" s="183" t="s">
        <v>343</v>
      </c>
      <c r="VD44" s="183" t="s">
        <v>343</v>
      </c>
      <c r="VE44" s="183" t="s">
        <v>343</v>
      </c>
      <c r="VF44" s="183" t="s">
        <v>343</v>
      </c>
      <c r="VG44" s="183" t="s">
        <v>343</v>
      </c>
      <c r="VH44" s="183" t="s">
        <v>343</v>
      </c>
      <c r="VI44" s="183" t="s">
        <v>343</v>
      </c>
      <c r="VJ44" s="183" t="s">
        <v>343</v>
      </c>
      <c r="VK44" s="183" t="s">
        <v>343</v>
      </c>
      <c r="VL44" s="183" t="s">
        <v>343</v>
      </c>
      <c r="VM44" s="183" t="s">
        <v>343</v>
      </c>
      <c r="VN44" s="183" t="s">
        <v>343</v>
      </c>
      <c r="VO44" s="183" t="s">
        <v>343</v>
      </c>
      <c r="VP44" s="183" t="s">
        <v>343</v>
      </c>
      <c r="VQ44" s="183" t="s">
        <v>343</v>
      </c>
      <c r="VR44" s="183" t="s">
        <v>343</v>
      </c>
      <c r="VS44" s="183" t="s">
        <v>343</v>
      </c>
      <c r="VT44" s="183" t="s">
        <v>343</v>
      </c>
      <c r="VU44" s="183" t="s">
        <v>343</v>
      </c>
      <c r="VV44" s="183" t="s">
        <v>343</v>
      </c>
      <c r="VW44" s="183" t="s">
        <v>343</v>
      </c>
      <c r="VX44" s="183" t="s">
        <v>343</v>
      </c>
      <c r="VY44" s="183" t="s">
        <v>343</v>
      </c>
      <c r="VZ44" s="183" t="s">
        <v>343</v>
      </c>
      <c r="WA44" s="183" t="s">
        <v>343</v>
      </c>
      <c r="WB44" s="183" t="s">
        <v>343</v>
      </c>
      <c r="WC44" s="183" t="s">
        <v>343</v>
      </c>
      <c r="WD44" s="183" t="s">
        <v>343</v>
      </c>
      <c r="WE44" s="183" t="s">
        <v>343</v>
      </c>
      <c r="WF44" s="183" t="s">
        <v>343</v>
      </c>
      <c r="WG44" s="183" t="s">
        <v>343</v>
      </c>
      <c r="WH44" s="183" t="s">
        <v>343</v>
      </c>
      <c r="WI44" s="183" t="s">
        <v>343</v>
      </c>
      <c r="WJ44" s="183" t="s">
        <v>343</v>
      </c>
      <c r="WK44" s="183" t="s">
        <v>343</v>
      </c>
      <c r="WL44" s="183" t="s">
        <v>343</v>
      </c>
      <c r="WM44" s="183" t="s">
        <v>343</v>
      </c>
      <c r="WN44" s="183" t="s">
        <v>343</v>
      </c>
      <c r="WO44" s="183" t="s">
        <v>343</v>
      </c>
      <c r="WP44" s="183" t="s">
        <v>343</v>
      </c>
      <c r="WQ44" s="183" t="s">
        <v>343</v>
      </c>
      <c r="WR44" s="183" t="s">
        <v>343</v>
      </c>
      <c r="WS44" s="183" t="s">
        <v>343</v>
      </c>
      <c r="WT44" s="183" t="s">
        <v>343</v>
      </c>
      <c r="WU44" s="183" t="s">
        <v>343</v>
      </c>
      <c r="WV44" s="183" t="s">
        <v>343</v>
      </c>
      <c r="WW44" s="183" t="s">
        <v>356</v>
      </c>
      <c r="WX44" s="183" t="s">
        <v>343</v>
      </c>
      <c r="WY44" s="183" t="s">
        <v>343</v>
      </c>
      <c r="WZ44" s="183" t="s">
        <v>343</v>
      </c>
      <c r="XA44" s="183" t="s">
        <v>343</v>
      </c>
      <c r="XB44" s="183" t="s">
        <v>343</v>
      </c>
      <c r="XC44" s="183" t="s">
        <v>343</v>
      </c>
      <c r="XD44" s="183" t="s">
        <v>343</v>
      </c>
      <c r="XE44" s="183" t="s">
        <v>343</v>
      </c>
      <c r="XF44" s="183" t="s">
        <v>343</v>
      </c>
      <c r="XG44" s="183" t="s">
        <v>343</v>
      </c>
      <c r="XH44" s="183" t="s">
        <v>343</v>
      </c>
      <c r="XI44" s="183" t="s">
        <v>343</v>
      </c>
      <c r="XJ44" s="183" t="s">
        <v>343</v>
      </c>
      <c r="XK44" s="183" t="s">
        <v>343</v>
      </c>
      <c r="XL44" s="183" t="s">
        <v>343</v>
      </c>
      <c r="XM44" s="183" t="s">
        <v>343</v>
      </c>
      <c r="XN44" s="183" t="s">
        <v>343</v>
      </c>
      <c r="XO44" s="183" t="s">
        <v>343</v>
      </c>
      <c r="XP44" s="183" t="s">
        <v>343</v>
      </c>
      <c r="XQ44" s="183" t="s">
        <v>343</v>
      </c>
      <c r="XR44" s="183" t="s">
        <v>343</v>
      </c>
      <c r="XS44" s="183" t="s">
        <v>343</v>
      </c>
      <c r="XT44" s="183" t="s">
        <v>343</v>
      </c>
      <c r="XU44" s="183" t="s">
        <v>343</v>
      </c>
      <c r="XV44" s="183" t="s">
        <v>343</v>
      </c>
      <c r="XW44" s="183" t="s">
        <v>343</v>
      </c>
      <c r="XX44" s="183" t="s">
        <v>343</v>
      </c>
      <c r="XY44" s="183" t="s">
        <v>343</v>
      </c>
      <c r="XZ44" s="183" t="s">
        <v>343</v>
      </c>
      <c r="YA44" s="183" t="s">
        <v>343</v>
      </c>
      <c r="YB44" s="183" t="s">
        <v>343</v>
      </c>
      <c r="YC44" s="183" t="s">
        <v>343</v>
      </c>
      <c r="YD44" s="183" t="s">
        <v>343</v>
      </c>
      <c r="YE44" s="183" t="s">
        <v>343</v>
      </c>
      <c r="YF44" s="183" t="s">
        <v>343</v>
      </c>
      <c r="YG44" s="183" t="s">
        <v>343</v>
      </c>
      <c r="YH44" s="183" t="s">
        <v>343</v>
      </c>
      <c r="YI44" s="183" t="s">
        <v>343</v>
      </c>
      <c r="YJ44" s="183" t="s">
        <v>343</v>
      </c>
      <c r="YK44" s="183" t="s">
        <v>343</v>
      </c>
      <c r="YL44" s="183" t="s">
        <v>343</v>
      </c>
      <c r="YM44" s="183" t="s">
        <v>343</v>
      </c>
      <c r="YN44" s="183" t="s">
        <v>343</v>
      </c>
      <c r="YO44" s="183" t="s">
        <v>343</v>
      </c>
      <c r="YP44" s="183" t="s">
        <v>343</v>
      </c>
      <c r="YQ44" s="183" t="s">
        <v>343</v>
      </c>
      <c r="YR44" s="183" t="s">
        <v>343</v>
      </c>
      <c r="YS44" s="183" t="s">
        <v>343</v>
      </c>
      <c r="YT44" s="183" t="s">
        <v>343</v>
      </c>
      <c r="YU44" s="183" t="s">
        <v>343</v>
      </c>
      <c r="YV44" s="183" t="s">
        <v>343</v>
      </c>
      <c r="YW44" s="183" t="s">
        <v>343</v>
      </c>
      <c r="YX44" s="183" t="s">
        <v>343</v>
      </c>
      <c r="YY44" s="183" t="s">
        <v>343</v>
      </c>
      <c r="YZ44" s="183" t="s">
        <v>343</v>
      </c>
      <c r="ZA44" s="183" t="s">
        <v>343</v>
      </c>
      <c r="ZB44" s="183" t="s">
        <v>343</v>
      </c>
      <c r="ZC44" s="183" t="s">
        <v>343</v>
      </c>
      <c r="ZL44" s="182" t="str">
        <f t="shared" si="1"/>
        <v>BREST -LYON</v>
      </c>
      <c r="ZM44" s="183" t="s">
        <v>536</v>
      </c>
      <c r="ZN44" s="182" t="s">
        <v>517</v>
      </c>
      <c r="ZO44" s="182">
        <v>763</v>
      </c>
      <c r="ZP44" s="198">
        <v>239.58199999999999</v>
      </c>
      <c r="ZQ44" s="193"/>
      <c r="ZR44" s="193"/>
      <c r="ZS44" s="193"/>
      <c r="ZT44" s="193"/>
    </row>
    <row r="45" spans="1:696" s="192" customFormat="1" ht="28.8">
      <c r="A45" s="91"/>
      <c r="B45" s="91"/>
      <c r="C45" s="91"/>
      <c r="D45" s="735"/>
      <c r="E45" s="194" t="s">
        <v>514</v>
      </c>
      <c r="F45" s="183" t="s">
        <v>698</v>
      </c>
      <c r="G45" s="183" t="s">
        <v>698</v>
      </c>
      <c r="H45" s="183" t="s">
        <v>698</v>
      </c>
      <c r="I45" s="183" t="s">
        <v>561</v>
      </c>
      <c r="J45" s="183" t="s">
        <v>561</v>
      </c>
      <c r="K45" s="183" t="s">
        <v>562</v>
      </c>
      <c r="L45" s="183" t="s">
        <v>562</v>
      </c>
      <c r="M45" s="183" t="s">
        <v>683</v>
      </c>
      <c r="N45" s="183" t="s">
        <v>616</v>
      </c>
      <c r="O45" s="183" t="s">
        <v>616</v>
      </c>
      <c r="P45" s="183" t="s">
        <v>594</v>
      </c>
      <c r="Q45" s="183" t="s">
        <v>517</v>
      </c>
      <c r="R45" s="183" t="s">
        <v>517</v>
      </c>
      <c r="S45" s="183" t="s">
        <v>517</v>
      </c>
      <c r="T45" s="183" t="s">
        <v>517</v>
      </c>
      <c r="U45" s="183" t="s">
        <v>517</v>
      </c>
      <c r="V45" s="183" t="s">
        <v>517</v>
      </c>
      <c r="W45" s="183" t="s">
        <v>517</v>
      </c>
      <c r="X45" s="183" t="s">
        <v>517</v>
      </c>
      <c r="Y45" s="183" t="s">
        <v>620</v>
      </c>
      <c r="Z45" s="183" t="s">
        <v>620</v>
      </c>
      <c r="AA45" s="183" t="s">
        <v>620</v>
      </c>
      <c r="AB45" s="183" t="s">
        <v>674</v>
      </c>
      <c r="AC45" s="183" t="s">
        <v>517</v>
      </c>
      <c r="AD45" s="183" t="s">
        <v>547</v>
      </c>
      <c r="AE45" s="183" t="s">
        <v>587</v>
      </c>
      <c r="AF45" s="183" t="s">
        <v>685</v>
      </c>
      <c r="AG45" s="183" t="s">
        <v>685</v>
      </c>
      <c r="AH45" s="183" t="s">
        <v>596</v>
      </c>
      <c r="AI45" s="183" t="s">
        <v>517</v>
      </c>
      <c r="AJ45" s="183" t="s">
        <v>517</v>
      </c>
      <c r="AK45" s="183" t="s">
        <v>517</v>
      </c>
      <c r="AL45" s="183" t="s">
        <v>517</v>
      </c>
      <c r="AM45" s="183" t="s">
        <v>706</v>
      </c>
      <c r="AN45" s="183" t="s">
        <v>706</v>
      </c>
      <c r="AO45" s="183" t="s">
        <v>587</v>
      </c>
      <c r="AP45" s="183" t="s">
        <v>621</v>
      </c>
      <c r="AQ45" s="183" t="s">
        <v>621</v>
      </c>
      <c r="AR45" s="183" t="s">
        <v>517</v>
      </c>
      <c r="AS45" s="183" t="s">
        <v>517</v>
      </c>
      <c r="AT45" s="183" t="s">
        <v>517</v>
      </c>
      <c r="AU45" s="183" t="s">
        <v>517</v>
      </c>
      <c r="AV45" s="183" t="s">
        <v>517</v>
      </c>
      <c r="AW45" s="183" t="s">
        <v>517</v>
      </c>
      <c r="AX45" s="183" t="s">
        <v>517</v>
      </c>
      <c r="AY45" s="183" t="s">
        <v>517</v>
      </c>
      <c r="AZ45" s="183" t="s">
        <v>517</v>
      </c>
      <c r="BA45" s="183" t="s">
        <v>517</v>
      </c>
      <c r="BB45" s="183" t="s">
        <v>517</v>
      </c>
      <c r="BC45" s="183" t="s">
        <v>517</v>
      </c>
      <c r="BD45" s="183" t="s">
        <v>517</v>
      </c>
      <c r="BE45" s="183" t="s">
        <v>517</v>
      </c>
      <c r="BF45" s="183" t="s">
        <v>517</v>
      </c>
      <c r="BG45" s="183" t="s">
        <v>517</v>
      </c>
      <c r="BH45" s="183" t="s">
        <v>517</v>
      </c>
      <c r="BI45" s="183" t="s">
        <v>517</v>
      </c>
      <c r="BJ45" s="183" t="s">
        <v>517</v>
      </c>
      <c r="BK45" s="183" t="s">
        <v>517</v>
      </c>
      <c r="BL45" s="183" t="s">
        <v>517</v>
      </c>
      <c r="BM45" s="183" t="s">
        <v>517</v>
      </c>
      <c r="BN45" s="183" t="s">
        <v>517</v>
      </c>
      <c r="BO45" s="183" t="s">
        <v>517</v>
      </c>
      <c r="BP45" s="183" t="s">
        <v>517</v>
      </c>
      <c r="BQ45" s="183" t="s">
        <v>517</v>
      </c>
      <c r="BR45" s="183" t="s">
        <v>517</v>
      </c>
      <c r="BS45" s="183" t="s">
        <v>517</v>
      </c>
      <c r="BT45" s="183" t="s">
        <v>517</v>
      </c>
      <c r="BU45" s="183" t="s">
        <v>517</v>
      </c>
      <c r="BV45" s="183" t="s">
        <v>517</v>
      </c>
      <c r="BW45" s="183" t="s">
        <v>517</v>
      </c>
      <c r="BX45" s="183" t="s">
        <v>546</v>
      </c>
      <c r="BY45" s="183" t="s">
        <v>546</v>
      </c>
      <c r="BZ45" s="183" t="s">
        <v>546</v>
      </c>
      <c r="CA45" s="183" t="s">
        <v>546</v>
      </c>
      <c r="CB45" s="183" t="s">
        <v>546</v>
      </c>
      <c r="CC45" s="183" t="s">
        <v>546</v>
      </c>
      <c r="CD45" s="183" t="s">
        <v>546</v>
      </c>
      <c r="CE45" s="183" t="s">
        <v>546</v>
      </c>
      <c r="CF45" s="183" t="s">
        <v>546</v>
      </c>
      <c r="CG45" s="183" t="s">
        <v>546</v>
      </c>
      <c r="CH45" s="183" t="s">
        <v>546</v>
      </c>
      <c r="CI45" s="183" t="s">
        <v>546</v>
      </c>
      <c r="CJ45" s="183" t="s">
        <v>546</v>
      </c>
      <c r="CK45" s="183" t="s">
        <v>546</v>
      </c>
      <c r="CL45" s="183" t="s">
        <v>546</v>
      </c>
      <c r="CM45" s="183" t="s">
        <v>546</v>
      </c>
      <c r="CN45" s="183" t="s">
        <v>546</v>
      </c>
      <c r="CO45" s="183" t="s">
        <v>546</v>
      </c>
      <c r="CP45" s="183" t="s">
        <v>546</v>
      </c>
      <c r="CQ45" s="183" t="s">
        <v>546</v>
      </c>
      <c r="CR45" s="183" t="s">
        <v>546</v>
      </c>
      <c r="CS45" s="183" t="s">
        <v>546</v>
      </c>
      <c r="CT45" s="183" t="s">
        <v>546</v>
      </c>
      <c r="CU45" s="183" t="s">
        <v>546</v>
      </c>
      <c r="CV45" s="183" t="s">
        <v>546</v>
      </c>
      <c r="CW45" s="183" t="s">
        <v>546</v>
      </c>
      <c r="CX45" s="183" t="s">
        <v>546</v>
      </c>
      <c r="CY45" s="183" t="s">
        <v>517</v>
      </c>
      <c r="CZ45" s="183" t="s">
        <v>669</v>
      </c>
      <c r="DA45" s="183" t="s">
        <v>517</v>
      </c>
      <c r="DB45" s="183" t="s">
        <v>517</v>
      </c>
      <c r="DC45" s="183" t="s">
        <v>517</v>
      </c>
      <c r="DD45" s="183" t="s">
        <v>517</v>
      </c>
      <c r="DE45" s="183" t="s">
        <v>517</v>
      </c>
      <c r="DF45" s="183" t="s">
        <v>526</v>
      </c>
      <c r="DG45" s="183" t="s">
        <v>526</v>
      </c>
      <c r="DH45" s="183" t="s">
        <v>533</v>
      </c>
      <c r="DI45" s="183" t="s">
        <v>533</v>
      </c>
      <c r="DJ45" s="183" t="s">
        <v>533</v>
      </c>
      <c r="DK45" s="183" t="s">
        <v>533</v>
      </c>
      <c r="DL45" s="183" t="s">
        <v>533</v>
      </c>
      <c r="DM45" s="183" t="s">
        <v>517</v>
      </c>
      <c r="DN45" s="183" t="s">
        <v>517</v>
      </c>
      <c r="DO45" s="183" t="s">
        <v>571</v>
      </c>
      <c r="DP45" s="183" t="s">
        <v>571</v>
      </c>
      <c r="DQ45" s="183" t="s">
        <v>571</v>
      </c>
      <c r="DR45" s="183" t="s">
        <v>664</v>
      </c>
      <c r="DS45" s="183" t="s">
        <v>531</v>
      </c>
      <c r="DT45" s="183" t="s">
        <v>517</v>
      </c>
      <c r="DU45" s="183" t="s">
        <v>517</v>
      </c>
      <c r="DV45" s="183" t="s">
        <v>517</v>
      </c>
      <c r="DW45" s="183" t="s">
        <v>517</v>
      </c>
      <c r="DX45" s="183" t="s">
        <v>573</v>
      </c>
      <c r="DY45" s="183" t="s">
        <v>573</v>
      </c>
      <c r="DZ45" s="183" t="s">
        <v>573</v>
      </c>
      <c r="EA45" s="183" t="s">
        <v>573</v>
      </c>
      <c r="EB45" s="183" t="s">
        <v>573</v>
      </c>
      <c r="EC45" s="183" t="s">
        <v>573</v>
      </c>
      <c r="ED45" s="183" t="s">
        <v>573</v>
      </c>
      <c r="EE45" s="183" t="s">
        <v>573</v>
      </c>
      <c r="EF45" s="183" t="s">
        <v>517</v>
      </c>
      <c r="EG45" s="183" t="s">
        <v>524</v>
      </c>
      <c r="EH45" s="183" t="s">
        <v>517</v>
      </c>
      <c r="EI45" s="183" t="s">
        <v>517</v>
      </c>
      <c r="EJ45" s="183" t="s">
        <v>587</v>
      </c>
      <c r="EK45" s="183" t="s">
        <v>560</v>
      </c>
      <c r="EL45" s="183" t="s">
        <v>560</v>
      </c>
      <c r="EM45" s="183" t="s">
        <v>517</v>
      </c>
      <c r="EN45" s="183" t="s">
        <v>517</v>
      </c>
      <c r="EO45" s="183" t="s">
        <v>517</v>
      </c>
      <c r="EP45" s="183" t="s">
        <v>517</v>
      </c>
      <c r="EQ45" s="183" t="s">
        <v>517</v>
      </c>
      <c r="ER45" s="183" t="s">
        <v>590</v>
      </c>
      <c r="ES45" s="183" t="s">
        <v>590</v>
      </c>
      <c r="ET45" s="183" t="s">
        <v>590</v>
      </c>
      <c r="EU45" s="183" t="s">
        <v>590</v>
      </c>
      <c r="EV45" s="183" t="s">
        <v>517</v>
      </c>
      <c r="EW45" s="183" t="s">
        <v>517</v>
      </c>
      <c r="EX45" s="183" t="s">
        <v>517</v>
      </c>
      <c r="EY45" s="183" t="s">
        <v>623</v>
      </c>
      <c r="EZ45" s="183" t="s">
        <v>623</v>
      </c>
      <c r="FA45" s="183" t="s">
        <v>563</v>
      </c>
      <c r="FB45" s="183" t="s">
        <v>517</v>
      </c>
      <c r="FC45" s="183" t="s">
        <v>607</v>
      </c>
      <c r="FD45" s="183" t="s">
        <v>607</v>
      </c>
      <c r="FE45" s="183" t="s">
        <v>529</v>
      </c>
      <c r="FF45" s="183" t="s">
        <v>529</v>
      </c>
      <c r="FG45" s="183" t="s">
        <v>529</v>
      </c>
      <c r="FH45" s="183" t="s">
        <v>529</v>
      </c>
      <c r="FI45" s="183" t="s">
        <v>517</v>
      </c>
      <c r="FJ45" s="183" t="s">
        <v>517</v>
      </c>
      <c r="FK45" s="183" t="s">
        <v>517</v>
      </c>
      <c r="FL45" s="183" t="s">
        <v>517</v>
      </c>
      <c r="FM45" s="183" t="s">
        <v>517</v>
      </c>
      <c r="FN45" s="183" t="s">
        <v>517</v>
      </c>
      <c r="FO45" s="183" t="s">
        <v>517</v>
      </c>
      <c r="FP45" s="183" t="s">
        <v>517</v>
      </c>
      <c r="FQ45" s="183" t="s">
        <v>517</v>
      </c>
      <c r="FR45" s="183" t="s">
        <v>517</v>
      </c>
      <c r="FS45" s="183" t="s">
        <v>517</v>
      </c>
      <c r="FT45" s="183" t="s">
        <v>517</v>
      </c>
      <c r="FU45" s="183" t="s">
        <v>517</v>
      </c>
      <c r="FV45" s="183" t="s">
        <v>517</v>
      </c>
      <c r="FW45" s="183" t="s">
        <v>517</v>
      </c>
      <c r="FX45" s="183" t="s">
        <v>517</v>
      </c>
      <c r="FY45" s="183" t="s">
        <v>517</v>
      </c>
      <c r="FZ45" s="183" t="s">
        <v>537</v>
      </c>
      <c r="GA45" s="183" t="s">
        <v>517</v>
      </c>
      <c r="GB45" s="183" t="s">
        <v>517</v>
      </c>
      <c r="GC45" s="183" t="s">
        <v>517</v>
      </c>
      <c r="GD45" s="183" t="s">
        <v>517</v>
      </c>
      <c r="GE45" s="183" t="s">
        <v>517</v>
      </c>
      <c r="GF45" s="183" t="s">
        <v>517</v>
      </c>
      <c r="GG45" s="183" t="s">
        <v>517</v>
      </c>
      <c r="GH45" s="183" t="s">
        <v>517</v>
      </c>
      <c r="GI45" s="183" t="s">
        <v>517</v>
      </c>
      <c r="GJ45" s="183" t="s">
        <v>517</v>
      </c>
      <c r="GK45" s="183" t="s">
        <v>517</v>
      </c>
      <c r="GL45" s="183" t="s">
        <v>517</v>
      </c>
      <c r="GM45" s="183" t="s">
        <v>517</v>
      </c>
      <c r="GN45" s="183" t="s">
        <v>517</v>
      </c>
      <c r="GO45" s="183" t="s">
        <v>517</v>
      </c>
      <c r="GP45" s="183" t="s">
        <v>517</v>
      </c>
      <c r="GQ45" s="183" t="s">
        <v>521</v>
      </c>
      <c r="GR45" s="183" t="s">
        <v>526</v>
      </c>
      <c r="GS45" s="183" t="s">
        <v>546</v>
      </c>
      <c r="GT45" s="183" t="s">
        <v>620</v>
      </c>
      <c r="GU45" s="183" t="s">
        <v>620</v>
      </c>
      <c r="GV45" s="183" t="s">
        <v>567</v>
      </c>
      <c r="GW45" s="183" t="s">
        <v>589</v>
      </c>
      <c r="GX45" s="183" t="s">
        <v>589</v>
      </c>
      <c r="GY45" s="183" t="s">
        <v>589</v>
      </c>
      <c r="GZ45" s="183" t="s">
        <v>517</v>
      </c>
      <c r="HA45" s="183" t="s">
        <v>517</v>
      </c>
      <c r="HB45" s="183" t="s">
        <v>517</v>
      </c>
      <c r="HC45" s="183" t="s">
        <v>517</v>
      </c>
      <c r="HD45" s="183" t="s">
        <v>517</v>
      </c>
      <c r="HE45" s="183" t="s">
        <v>557</v>
      </c>
      <c r="HF45" s="183" t="s">
        <v>526</v>
      </c>
      <c r="HG45" s="183" t="s">
        <v>596</v>
      </c>
      <c r="HH45" s="183" t="s">
        <v>547</v>
      </c>
      <c r="HI45" s="183" t="s">
        <v>597</v>
      </c>
      <c r="HJ45" s="183" t="s">
        <v>597</v>
      </c>
      <c r="HK45" s="183" t="s">
        <v>584</v>
      </c>
      <c r="HL45" s="183" t="s">
        <v>585</v>
      </c>
      <c r="HM45" s="183" t="s">
        <v>620</v>
      </c>
      <c r="HN45" s="183" t="s">
        <v>620</v>
      </c>
      <c r="HO45" s="183" t="s">
        <v>703</v>
      </c>
      <c r="HP45" s="183" t="s">
        <v>620</v>
      </c>
      <c r="HQ45" s="183" t="s">
        <v>567</v>
      </c>
      <c r="HR45" s="183" t="s">
        <v>520</v>
      </c>
      <c r="HS45" s="183" t="s">
        <v>520</v>
      </c>
      <c r="HT45" s="183" t="s">
        <v>520</v>
      </c>
      <c r="HU45" s="183" t="s">
        <v>553</v>
      </c>
      <c r="HV45" s="183" t="s">
        <v>553</v>
      </c>
      <c r="HW45" s="183" t="s">
        <v>553</v>
      </c>
      <c r="HX45" s="183" t="s">
        <v>553</v>
      </c>
      <c r="HY45" s="183" t="s">
        <v>553</v>
      </c>
      <c r="HZ45" s="183" t="s">
        <v>553</v>
      </c>
      <c r="IA45" s="183" t="s">
        <v>553</v>
      </c>
      <c r="IB45" s="183" t="s">
        <v>553</v>
      </c>
      <c r="IC45" s="183" t="s">
        <v>553</v>
      </c>
      <c r="ID45" s="183" t="s">
        <v>553</v>
      </c>
      <c r="IE45" s="183" t="s">
        <v>517</v>
      </c>
      <c r="IF45" s="183" t="s">
        <v>517</v>
      </c>
      <c r="IG45" s="183" t="s">
        <v>517</v>
      </c>
      <c r="IH45" s="183" t="s">
        <v>517</v>
      </c>
      <c r="II45" s="183" t="s">
        <v>517</v>
      </c>
      <c r="IJ45" s="183" t="s">
        <v>517</v>
      </c>
      <c r="IK45" s="183" t="s">
        <v>517</v>
      </c>
      <c r="IL45" s="183" t="s">
        <v>517</v>
      </c>
      <c r="IM45" s="183" t="s">
        <v>517</v>
      </c>
      <c r="IN45" s="183" t="s">
        <v>517</v>
      </c>
      <c r="IO45" s="183" t="s">
        <v>517</v>
      </c>
      <c r="IP45" s="183" t="s">
        <v>517</v>
      </c>
      <c r="IQ45" s="183" t="s">
        <v>517</v>
      </c>
      <c r="IR45" s="183" t="s">
        <v>592</v>
      </c>
      <c r="IS45" s="183" t="s">
        <v>526</v>
      </c>
      <c r="IT45" s="183" t="s">
        <v>526</v>
      </c>
      <c r="IU45" s="183" t="s">
        <v>590</v>
      </c>
      <c r="IV45" s="183" t="s">
        <v>590</v>
      </c>
      <c r="IW45" s="183" t="s">
        <v>590</v>
      </c>
      <c r="IX45" s="183" t="s">
        <v>590</v>
      </c>
      <c r="IY45" s="183" t="s">
        <v>581</v>
      </c>
      <c r="IZ45" s="183" t="s">
        <v>517</v>
      </c>
      <c r="JA45" s="183" t="s">
        <v>517</v>
      </c>
      <c r="JB45" s="183" t="s">
        <v>517</v>
      </c>
      <c r="JC45" s="183" t="s">
        <v>517</v>
      </c>
      <c r="JD45" s="183" t="s">
        <v>517</v>
      </c>
      <c r="JE45" s="183" t="s">
        <v>517</v>
      </c>
      <c r="JF45" s="183" t="s">
        <v>645</v>
      </c>
      <c r="JG45" s="183" t="s">
        <v>526</v>
      </c>
      <c r="JH45" s="183" t="s">
        <v>526</v>
      </c>
      <c r="JI45" s="183" t="s">
        <v>527</v>
      </c>
      <c r="JJ45" s="183" t="s">
        <v>527</v>
      </c>
      <c r="JK45" s="183" t="s">
        <v>526</v>
      </c>
      <c r="JL45" s="183" t="s">
        <v>526</v>
      </c>
      <c r="JM45" s="183" t="s">
        <v>517</v>
      </c>
      <c r="JN45" s="183" t="s">
        <v>517</v>
      </c>
      <c r="JO45" s="183" t="s">
        <v>517</v>
      </c>
      <c r="JP45" s="183" t="s">
        <v>517</v>
      </c>
      <c r="JQ45" s="183" t="s">
        <v>517</v>
      </c>
      <c r="JR45" s="183" t="s">
        <v>639</v>
      </c>
      <c r="JS45" s="183" t="s">
        <v>544</v>
      </c>
      <c r="JT45" s="183" t="s">
        <v>517</v>
      </c>
      <c r="JU45" s="183" t="s">
        <v>517</v>
      </c>
      <c r="JV45" s="183" t="s">
        <v>517</v>
      </c>
      <c r="JW45" s="183" t="s">
        <v>517</v>
      </c>
      <c r="JX45" s="183" t="s">
        <v>517</v>
      </c>
      <c r="JY45" s="183" t="s">
        <v>517</v>
      </c>
      <c r="JZ45" s="183" t="s">
        <v>517</v>
      </c>
      <c r="KA45" s="183" t="s">
        <v>517</v>
      </c>
      <c r="KB45" s="183" t="s">
        <v>565</v>
      </c>
      <c r="KC45" s="183" t="s">
        <v>546</v>
      </c>
      <c r="KD45" s="183" t="s">
        <v>517</v>
      </c>
      <c r="KE45" s="183" t="s">
        <v>517</v>
      </c>
      <c r="KF45" s="183" t="s">
        <v>517</v>
      </c>
      <c r="KG45" s="183" t="s">
        <v>517</v>
      </c>
      <c r="KH45" s="183" t="s">
        <v>542</v>
      </c>
      <c r="KI45" s="183" t="s">
        <v>542</v>
      </c>
      <c r="KJ45" s="183" t="s">
        <v>542</v>
      </c>
      <c r="KK45" s="183" t="s">
        <v>542</v>
      </c>
      <c r="KL45" s="183" t="s">
        <v>607</v>
      </c>
      <c r="KM45" s="183" t="s">
        <v>607</v>
      </c>
      <c r="KN45" s="183" t="s">
        <v>607</v>
      </c>
      <c r="KO45" s="183" t="s">
        <v>607</v>
      </c>
      <c r="KP45" s="183" t="s">
        <v>607</v>
      </c>
      <c r="KQ45" s="183" t="s">
        <v>607</v>
      </c>
      <c r="KR45" s="183" t="s">
        <v>607</v>
      </c>
      <c r="KS45" s="183" t="s">
        <v>517</v>
      </c>
      <c r="KT45" s="183" t="s">
        <v>517</v>
      </c>
      <c r="KU45" s="183" t="s">
        <v>517</v>
      </c>
      <c r="KV45" s="183" t="s">
        <v>546</v>
      </c>
      <c r="KW45" s="183" t="s">
        <v>517</v>
      </c>
      <c r="KX45" s="183" t="s">
        <v>517</v>
      </c>
      <c r="KY45" s="183" t="s">
        <v>590</v>
      </c>
      <c r="KZ45" s="183" t="s">
        <v>590</v>
      </c>
      <c r="LA45" s="183" t="s">
        <v>552</v>
      </c>
      <c r="LB45" s="183" t="s">
        <v>517</v>
      </c>
      <c r="LC45" s="183" t="s">
        <v>517</v>
      </c>
      <c r="LD45" s="183" t="s">
        <v>517</v>
      </c>
      <c r="LE45" s="183" t="s">
        <v>517</v>
      </c>
      <c r="LF45" s="183" t="s">
        <v>517</v>
      </c>
      <c r="LG45" s="183" t="s">
        <v>517</v>
      </c>
      <c r="LH45" s="183" t="s">
        <v>517</v>
      </c>
      <c r="LI45" s="183" t="s">
        <v>517</v>
      </c>
      <c r="LJ45" s="183" t="s">
        <v>517</v>
      </c>
      <c r="LK45" s="183" t="s">
        <v>517</v>
      </c>
      <c r="LL45" s="183" t="s">
        <v>517</v>
      </c>
      <c r="LM45" s="183" t="s">
        <v>517</v>
      </c>
      <c r="LN45" s="183" t="s">
        <v>517</v>
      </c>
      <c r="LO45" s="183" t="s">
        <v>517</v>
      </c>
      <c r="LP45" s="183" t="s">
        <v>517</v>
      </c>
      <c r="LQ45" s="183" t="s">
        <v>517</v>
      </c>
      <c r="LR45" s="183" t="s">
        <v>517</v>
      </c>
      <c r="LS45" s="183" t="s">
        <v>517</v>
      </c>
      <c r="LT45" s="183" t="s">
        <v>517</v>
      </c>
      <c r="LU45" s="183" t="s">
        <v>526</v>
      </c>
      <c r="LV45" s="183" t="s">
        <v>526</v>
      </c>
      <c r="LW45" s="183" t="s">
        <v>526</v>
      </c>
      <c r="LX45" s="183" t="s">
        <v>526</v>
      </c>
      <c r="LY45" s="183" t="s">
        <v>517</v>
      </c>
      <c r="LZ45" s="183" t="s">
        <v>543</v>
      </c>
      <c r="MA45" s="183" t="s">
        <v>543</v>
      </c>
      <c r="MB45" s="183" t="s">
        <v>607</v>
      </c>
      <c r="MC45" s="183" t="s">
        <v>607</v>
      </c>
      <c r="MD45" s="183" t="s">
        <v>607</v>
      </c>
      <c r="ME45" s="183" t="s">
        <v>607</v>
      </c>
      <c r="MF45" s="183" t="s">
        <v>610</v>
      </c>
      <c r="MG45" s="183" t="s">
        <v>586</v>
      </c>
      <c r="MH45" s="183" t="s">
        <v>586</v>
      </c>
      <c r="MI45" s="183" t="s">
        <v>586</v>
      </c>
      <c r="MJ45" s="183" t="s">
        <v>586</v>
      </c>
      <c r="MK45" s="183" t="s">
        <v>586</v>
      </c>
      <c r="ML45" s="183" t="s">
        <v>539</v>
      </c>
      <c r="MM45" s="183" t="s">
        <v>539</v>
      </c>
      <c r="MN45" s="183" t="s">
        <v>539</v>
      </c>
      <c r="MO45" s="183" t="s">
        <v>539</v>
      </c>
      <c r="MP45" s="183" t="s">
        <v>517</v>
      </c>
      <c r="MQ45" s="183" t="s">
        <v>517</v>
      </c>
      <c r="MR45" s="183" t="s">
        <v>517</v>
      </c>
      <c r="MS45" s="183" t="s">
        <v>517</v>
      </c>
      <c r="MT45" s="183" t="s">
        <v>519</v>
      </c>
      <c r="MU45" s="183" t="s">
        <v>592</v>
      </c>
      <c r="MV45" s="183" t="s">
        <v>517</v>
      </c>
      <c r="MW45" s="183" t="s">
        <v>575</v>
      </c>
      <c r="MX45" s="183" t="s">
        <v>556</v>
      </c>
      <c r="MY45" s="183" t="s">
        <v>517</v>
      </c>
      <c r="MZ45" s="183" t="s">
        <v>517</v>
      </c>
      <c r="NA45" s="183" t="s">
        <v>517</v>
      </c>
      <c r="NB45" s="183" t="s">
        <v>517</v>
      </c>
      <c r="NC45" s="183" t="s">
        <v>517</v>
      </c>
      <c r="ND45" s="183" t="s">
        <v>517</v>
      </c>
      <c r="NE45" s="183" t="s">
        <v>517</v>
      </c>
      <c r="NF45" s="183" t="s">
        <v>517</v>
      </c>
      <c r="NG45" s="183" t="s">
        <v>517</v>
      </c>
      <c r="NH45" s="183" t="s">
        <v>517</v>
      </c>
      <c r="NI45" s="183" t="s">
        <v>517</v>
      </c>
      <c r="NJ45" s="183" t="s">
        <v>517</v>
      </c>
      <c r="NK45" s="183" t="s">
        <v>517</v>
      </c>
      <c r="NL45" s="183" t="s">
        <v>517</v>
      </c>
      <c r="NM45" s="183" t="s">
        <v>517</v>
      </c>
      <c r="NN45" s="183" t="s">
        <v>526</v>
      </c>
      <c r="NO45" s="183" t="s">
        <v>552</v>
      </c>
      <c r="NP45" s="183" t="s">
        <v>552</v>
      </c>
      <c r="NQ45" s="183" t="s">
        <v>552</v>
      </c>
      <c r="NR45" s="183" t="s">
        <v>517</v>
      </c>
      <c r="NS45" s="183" t="s">
        <v>517</v>
      </c>
      <c r="NT45" s="183" t="s">
        <v>517</v>
      </c>
      <c r="NU45" s="183" t="s">
        <v>517</v>
      </c>
      <c r="NV45" s="183" t="s">
        <v>517</v>
      </c>
      <c r="NW45" s="183" t="s">
        <v>517</v>
      </c>
      <c r="NX45" s="183" t="s">
        <v>517</v>
      </c>
      <c r="NY45" s="183" t="s">
        <v>517</v>
      </c>
      <c r="NZ45" s="183" t="s">
        <v>517</v>
      </c>
      <c r="OA45" s="183" t="s">
        <v>517</v>
      </c>
      <c r="OB45" s="183" t="s">
        <v>517</v>
      </c>
      <c r="OC45" s="183" t="s">
        <v>546</v>
      </c>
      <c r="OD45" s="183" t="s">
        <v>517</v>
      </c>
      <c r="OE45" s="183" t="s">
        <v>590</v>
      </c>
      <c r="OF45" s="183" t="s">
        <v>590</v>
      </c>
      <c r="OG45" s="183" t="s">
        <v>567</v>
      </c>
      <c r="OH45" s="183" t="s">
        <v>662</v>
      </c>
      <c r="OI45" s="183" t="s">
        <v>610</v>
      </c>
      <c r="OJ45" s="183" t="s">
        <v>610</v>
      </c>
      <c r="OK45" s="183" t="s">
        <v>610</v>
      </c>
      <c r="OL45" s="183" t="s">
        <v>610</v>
      </c>
      <c r="OM45" s="183" t="s">
        <v>610</v>
      </c>
      <c r="ON45" s="183" t="s">
        <v>517</v>
      </c>
      <c r="OO45" s="183" t="s">
        <v>549</v>
      </c>
      <c r="OP45" s="183" t="s">
        <v>549</v>
      </c>
      <c r="OQ45" s="183" t="s">
        <v>517</v>
      </c>
      <c r="OR45" s="183" t="s">
        <v>667</v>
      </c>
      <c r="OS45" s="183" t="s">
        <v>517</v>
      </c>
      <c r="OT45" s="183" t="s">
        <v>517</v>
      </c>
      <c r="OU45" s="183" t="s">
        <v>619</v>
      </c>
      <c r="OV45" s="183" t="s">
        <v>517</v>
      </c>
      <c r="OW45" s="183" t="s">
        <v>517</v>
      </c>
      <c r="OX45" s="183" t="s">
        <v>517</v>
      </c>
      <c r="OY45" s="183" t="s">
        <v>517</v>
      </c>
      <c r="OZ45" s="183" t="s">
        <v>517</v>
      </c>
      <c r="PA45" s="183" t="s">
        <v>517</v>
      </c>
      <c r="PB45" s="183" t="s">
        <v>517</v>
      </c>
      <c r="PC45" s="183" t="s">
        <v>545</v>
      </c>
      <c r="PD45" s="183" t="s">
        <v>547</v>
      </c>
      <c r="PE45" s="183" t="s">
        <v>546</v>
      </c>
      <c r="PF45" s="183" t="s">
        <v>546</v>
      </c>
      <c r="PG45" s="183" t="s">
        <v>546</v>
      </c>
      <c r="PH45" s="183" t="s">
        <v>546</v>
      </c>
      <c r="PI45" s="183" t="s">
        <v>595</v>
      </c>
      <c r="PJ45" s="183" t="s">
        <v>595</v>
      </c>
      <c r="PK45" s="183" t="s">
        <v>517</v>
      </c>
      <c r="PL45" s="183" t="s">
        <v>517</v>
      </c>
      <c r="PM45" s="183" t="s">
        <v>517</v>
      </c>
      <c r="PN45" s="183" t="s">
        <v>517</v>
      </c>
      <c r="PO45" s="183" t="s">
        <v>517</v>
      </c>
      <c r="PP45" s="183" t="s">
        <v>517</v>
      </c>
      <c r="PQ45" s="183" t="s">
        <v>517</v>
      </c>
      <c r="PR45" s="183" t="s">
        <v>517</v>
      </c>
      <c r="PS45" s="183" t="s">
        <v>517</v>
      </c>
      <c r="PT45" s="183" t="s">
        <v>541</v>
      </c>
      <c r="PU45" s="183" t="s">
        <v>558</v>
      </c>
      <c r="PV45" s="183" t="s">
        <v>558</v>
      </c>
      <c r="PW45" s="183" t="s">
        <v>517</v>
      </c>
      <c r="PX45" s="183" t="s">
        <v>517</v>
      </c>
      <c r="PY45" s="183" t="s">
        <v>567</v>
      </c>
      <c r="PZ45" s="183" t="s">
        <v>662</v>
      </c>
      <c r="QA45" s="183" t="s">
        <v>662</v>
      </c>
      <c r="QB45" s="183" t="s">
        <v>573</v>
      </c>
      <c r="QC45" s="183" t="s">
        <v>573</v>
      </c>
      <c r="QD45" s="183" t="s">
        <v>573</v>
      </c>
      <c r="QE45" s="183" t="s">
        <v>573</v>
      </c>
      <c r="QF45" s="183" t="s">
        <v>710</v>
      </c>
      <c r="QG45" s="183" t="s">
        <v>699</v>
      </c>
      <c r="QH45" s="183" t="s">
        <v>517</v>
      </c>
      <c r="QI45" s="183" t="s">
        <v>517</v>
      </c>
      <c r="QJ45" s="183" t="s">
        <v>517</v>
      </c>
      <c r="QK45" s="183" t="s">
        <v>517</v>
      </c>
      <c r="QL45" s="183" t="s">
        <v>517</v>
      </c>
      <c r="QM45" s="183" t="s">
        <v>522</v>
      </c>
      <c r="QN45" s="183" t="s">
        <v>517</v>
      </c>
      <c r="QO45" s="183" t="s">
        <v>517</v>
      </c>
      <c r="QP45" s="183" t="s">
        <v>517</v>
      </c>
      <c r="QQ45" s="183" t="s">
        <v>517</v>
      </c>
      <c r="QR45" s="183" t="s">
        <v>642</v>
      </c>
      <c r="QS45" s="183" t="s">
        <v>642</v>
      </c>
      <c r="QT45" s="183" t="s">
        <v>567</v>
      </c>
      <c r="QU45" s="183" t="s">
        <v>526</v>
      </c>
      <c r="QV45" s="183" t="s">
        <v>526</v>
      </c>
      <c r="QW45" s="183" t="s">
        <v>526</v>
      </c>
      <c r="QX45" s="183" t="s">
        <v>526</v>
      </c>
      <c r="QY45" s="183" t="s">
        <v>526</v>
      </c>
      <c r="QZ45" s="183" t="s">
        <v>526</v>
      </c>
      <c r="RA45" s="183" t="s">
        <v>526</v>
      </c>
      <c r="RB45" s="183" t="s">
        <v>526</v>
      </c>
      <c r="RC45" s="183" t="s">
        <v>526</v>
      </c>
      <c r="RD45" s="183" t="s">
        <v>583</v>
      </c>
      <c r="RE45" s="183" t="s">
        <v>547</v>
      </c>
      <c r="RF45" s="183" t="s">
        <v>547</v>
      </c>
      <c r="RG45" s="183" t="s">
        <v>517</v>
      </c>
      <c r="RH45" s="183" t="s">
        <v>677</v>
      </c>
      <c r="RI45" s="183" t="s">
        <v>517</v>
      </c>
      <c r="RJ45" s="183" t="s">
        <v>517</v>
      </c>
      <c r="RK45" s="183" t="s">
        <v>517</v>
      </c>
      <c r="RL45" s="183" t="s">
        <v>517</v>
      </c>
      <c r="RM45" s="183" t="s">
        <v>668</v>
      </c>
      <c r="RN45" s="183" t="s">
        <v>545</v>
      </c>
      <c r="RO45" s="183" t="s">
        <v>545</v>
      </c>
      <c r="RP45" s="183" t="s">
        <v>517</v>
      </c>
      <c r="RQ45" s="183" t="s">
        <v>517</v>
      </c>
      <c r="RR45" s="183" t="s">
        <v>517</v>
      </c>
      <c r="RS45" s="183" t="s">
        <v>517</v>
      </c>
      <c r="RT45" s="183" t="s">
        <v>517</v>
      </c>
      <c r="RU45" s="183" t="s">
        <v>517</v>
      </c>
      <c r="RV45" s="183" t="s">
        <v>517</v>
      </c>
      <c r="RW45" s="183" t="s">
        <v>517</v>
      </c>
      <c r="RX45" s="183" t="s">
        <v>517</v>
      </c>
      <c r="RY45" s="183" t="s">
        <v>517</v>
      </c>
      <c r="RZ45" s="183" t="s">
        <v>517</v>
      </c>
      <c r="SA45" s="183" t="s">
        <v>517</v>
      </c>
      <c r="SB45" s="183" t="s">
        <v>587</v>
      </c>
      <c r="SC45" s="183" t="s">
        <v>587</v>
      </c>
      <c r="SD45" s="183" t="s">
        <v>587</v>
      </c>
      <c r="SE45" s="183" t="s">
        <v>587</v>
      </c>
      <c r="SF45" s="183" t="s">
        <v>587</v>
      </c>
      <c r="SG45" s="183" t="s">
        <v>590</v>
      </c>
      <c r="SH45" s="183" t="s">
        <v>545</v>
      </c>
      <c r="SI45" s="183" t="s">
        <v>517</v>
      </c>
      <c r="SJ45" s="183" t="s">
        <v>517</v>
      </c>
      <c r="SK45" s="183" t="s">
        <v>517</v>
      </c>
      <c r="SL45" s="183" t="s">
        <v>517</v>
      </c>
      <c r="SM45" s="183" t="s">
        <v>680</v>
      </c>
      <c r="SN45" s="183" t="s">
        <v>517</v>
      </c>
      <c r="SO45" s="183" t="s">
        <v>579</v>
      </c>
      <c r="SP45" s="183" t="s">
        <v>517</v>
      </c>
      <c r="SQ45" s="183" t="s">
        <v>517</v>
      </c>
      <c r="SR45" s="183" t="s">
        <v>517</v>
      </c>
      <c r="SS45" s="183" t="s">
        <v>517</v>
      </c>
      <c r="ST45" s="183" t="s">
        <v>517</v>
      </c>
      <c r="SU45" s="183" t="s">
        <v>673</v>
      </c>
      <c r="SV45" s="183" t="s">
        <v>673</v>
      </c>
      <c r="SW45" s="183" t="s">
        <v>673</v>
      </c>
      <c r="SX45" s="183" t="s">
        <v>673</v>
      </c>
      <c r="SY45" s="183" t="s">
        <v>644</v>
      </c>
      <c r="SZ45" s="183" t="s">
        <v>517</v>
      </c>
      <c r="TA45" s="183" t="s">
        <v>517</v>
      </c>
      <c r="TB45" s="183" t="s">
        <v>658</v>
      </c>
      <c r="TC45" s="183" t="s">
        <v>517</v>
      </c>
      <c r="TD45" s="183" t="s">
        <v>517</v>
      </c>
      <c r="TE45" s="183" t="s">
        <v>517</v>
      </c>
      <c r="TF45" s="183" t="s">
        <v>517</v>
      </c>
      <c r="TG45" s="183" t="s">
        <v>644</v>
      </c>
      <c r="TH45" s="183" t="s">
        <v>644</v>
      </c>
      <c r="TI45" s="183" t="s">
        <v>644</v>
      </c>
      <c r="TJ45" s="183" t="s">
        <v>644</v>
      </c>
      <c r="TK45" s="183" t="s">
        <v>517</v>
      </c>
      <c r="TL45" s="183" t="s">
        <v>518</v>
      </c>
      <c r="TM45" s="183" t="s">
        <v>519</v>
      </c>
      <c r="TN45" s="183" t="s">
        <v>644</v>
      </c>
      <c r="TO45" s="183" t="s">
        <v>517</v>
      </c>
      <c r="TP45" s="183" t="s">
        <v>517</v>
      </c>
      <c r="TQ45" s="183" t="s">
        <v>517</v>
      </c>
      <c r="TR45" s="183" t="s">
        <v>517</v>
      </c>
      <c r="TS45" s="183" t="s">
        <v>517</v>
      </c>
      <c r="TT45" s="183" t="s">
        <v>517</v>
      </c>
      <c r="TU45" s="183" t="s">
        <v>517</v>
      </c>
      <c r="TV45" s="183" t="s">
        <v>517</v>
      </c>
      <c r="TW45" s="183" t="s">
        <v>517</v>
      </c>
      <c r="TX45" s="183" t="s">
        <v>535</v>
      </c>
      <c r="TY45" s="183" t="s">
        <v>517</v>
      </c>
      <c r="TZ45" s="183" t="s">
        <v>517</v>
      </c>
      <c r="UA45" s="183" t="s">
        <v>517</v>
      </c>
      <c r="UB45" s="183" t="s">
        <v>517</v>
      </c>
      <c r="UC45" s="183" t="s">
        <v>517</v>
      </c>
      <c r="UD45" s="183" t="s">
        <v>517</v>
      </c>
      <c r="UE45" s="183" t="s">
        <v>517</v>
      </c>
      <c r="UF45" s="183" t="s">
        <v>517</v>
      </c>
      <c r="UG45" s="183" t="s">
        <v>517</v>
      </c>
      <c r="UH45" s="183" t="s">
        <v>517</v>
      </c>
      <c r="UI45" s="183" t="s">
        <v>517</v>
      </c>
      <c r="UJ45" s="183" t="s">
        <v>517</v>
      </c>
      <c r="UK45" s="183" t="s">
        <v>517</v>
      </c>
      <c r="UL45" s="183" t="s">
        <v>517</v>
      </c>
      <c r="UM45" s="183" t="s">
        <v>517</v>
      </c>
      <c r="UN45" s="183" t="s">
        <v>517</v>
      </c>
      <c r="UO45" s="183" t="s">
        <v>517</v>
      </c>
      <c r="UP45" s="183" t="s">
        <v>517</v>
      </c>
      <c r="UQ45" s="183" t="s">
        <v>563</v>
      </c>
      <c r="UR45" s="183" t="s">
        <v>517</v>
      </c>
      <c r="US45" s="183" t="s">
        <v>517</v>
      </c>
      <c r="UT45" s="183" t="s">
        <v>517</v>
      </c>
      <c r="UU45" s="183" t="s">
        <v>517</v>
      </c>
      <c r="UV45" s="183" t="s">
        <v>517</v>
      </c>
      <c r="UW45" s="183" t="s">
        <v>541</v>
      </c>
      <c r="UX45" s="183" t="s">
        <v>541</v>
      </c>
      <c r="UY45" s="183" t="s">
        <v>541</v>
      </c>
      <c r="UZ45" s="183" t="s">
        <v>541</v>
      </c>
      <c r="VA45" s="183" t="s">
        <v>541</v>
      </c>
      <c r="VB45" s="183" t="s">
        <v>541</v>
      </c>
      <c r="VC45" s="183" t="s">
        <v>517</v>
      </c>
      <c r="VD45" s="183" t="s">
        <v>517</v>
      </c>
      <c r="VE45" s="183" t="s">
        <v>542</v>
      </c>
      <c r="VF45" s="183" t="s">
        <v>542</v>
      </c>
      <c r="VG45" s="183" t="s">
        <v>526</v>
      </c>
      <c r="VH45" s="183" t="s">
        <v>517</v>
      </c>
      <c r="VI45" s="183" t="s">
        <v>517</v>
      </c>
      <c r="VJ45" s="183" t="s">
        <v>517</v>
      </c>
      <c r="VK45" s="183" t="s">
        <v>517</v>
      </c>
      <c r="VL45" s="183" t="s">
        <v>517</v>
      </c>
      <c r="VM45" s="183" t="s">
        <v>517</v>
      </c>
      <c r="VN45" s="183" t="s">
        <v>517</v>
      </c>
      <c r="VO45" s="183" t="s">
        <v>620</v>
      </c>
      <c r="VP45" s="183" t="s">
        <v>517</v>
      </c>
      <c r="VQ45" s="183" t="s">
        <v>517</v>
      </c>
      <c r="VR45" s="183" t="s">
        <v>517</v>
      </c>
      <c r="VS45" s="183" t="s">
        <v>533</v>
      </c>
      <c r="VT45" s="183" t="s">
        <v>517</v>
      </c>
      <c r="VU45" s="183" t="s">
        <v>517</v>
      </c>
      <c r="VV45" s="183" t="s">
        <v>517</v>
      </c>
      <c r="VW45" s="183" t="s">
        <v>517</v>
      </c>
      <c r="VX45" s="183" t="s">
        <v>517</v>
      </c>
      <c r="VY45" s="183" t="s">
        <v>517</v>
      </c>
      <c r="VZ45" s="183" t="s">
        <v>670</v>
      </c>
      <c r="WA45" s="183" t="s">
        <v>670</v>
      </c>
      <c r="WB45" s="183" t="s">
        <v>526</v>
      </c>
      <c r="WC45" s="183" t="s">
        <v>517</v>
      </c>
      <c r="WD45" s="183" t="s">
        <v>517</v>
      </c>
      <c r="WE45" s="183" t="s">
        <v>526</v>
      </c>
      <c r="WF45" s="183" t="s">
        <v>526</v>
      </c>
      <c r="WG45" s="183" t="s">
        <v>517</v>
      </c>
      <c r="WH45" s="183" t="s">
        <v>517</v>
      </c>
      <c r="WI45" s="183" t="s">
        <v>517</v>
      </c>
      <c r="WJ45" s="183" t="s">
        <v>517</v>
      </c>
      <c r="WK45" s="183" t="s">
        <v>517</v>
      </c>
      <c r="WL45" s="183" t="s">
        <v>517</v>
      </c>
      <c r="WM45" s="183" t="s">
        <v>517</v>
      </c>
      <c r="WN45" s="183" t="s">
        <v>517</v>
      </c>
      <c r="WO45" s="183" t="s">
        <v>517</v>
      </c>
      <c r="WP45" s="183" t="s">
        <v>517</v>
      </c>
      <c r="WQ45" s="183" t="s">
        <v>517</v>
      </c>
      <c r="WR45" s="183" t="s">
        <v>517</v>
      </c>
      <c r="WS45" s="183" t="s">
        <v>517</v>
      </c>
      <c r="WT45" s="183" t="s">
        <v>517</v>
      </c>
      <c r="WU45" s="183" t="s">
        <v>517</v>
      </c>
      <c r="WV45" s="183" t="s">
        <v>517</v>
      </c>
      <c r="WW45" s="183" t="s">
        <v>517</v>
      </c>
      <c r="WX45" s="183" t="s">
        <v>517</v>
      </c>
      <c r="WY45" s="183" t="s">
        <v>532</v>
      </c>
      <c r="WZ45" s="183" t="s">
        <v>578</v>
      </c>
      <c r="XA45" s="183" t="s">
        <v>532</v>
      </c>
      <c r="XB45" s="183" t="s">
        <v>517</v>
      </c>
      <c r="XC45" s="183" t="s">
        <v>517</v>
      </c>
      <c r="XD45" s="183" t="s">
        <v>517</v>
      </c>
      <c r="XE45" s="183" t="s">
        <v>517</v>
      </c>
      <c r="XF45" s="183" t="s">
        <v>517</v>
      </c>
      <c r="XG45" s="183" t="s">
        <v>517</v>
      </c>
      <c r="XH45" s="183" t="s">
        <v>517</v>
      </c>
      <c r="XI45" s="183" t="s">
        <v>517</v>
      </c>
      <c r="XJ45" s="183" t="s">
        <v>517</v>
      </c>
      <c r="XK45" s="183" t="s">
        <v>517</v>
      </c>
      <c r="XL45" s="183" t="s">
        <v>517</v>
      </c>
      <c r="XM45" s="183" t="s">
        <v>517</v>
      </c>
      <c r="XN45" s="183" t="s">
        <v>517</v>
      </c>
      <c r="XO45" s="183" t="s">
        <v>517</v>
      </c>
      <c r="XP45" s="183" t="s">
        <v>517</v>
      </c>
      <c r="XQ45" s="183" t="s">
        <v>517</v>
      </c>
      <c r="XR45" s="183" t="s">
        <v>517</v>
      </c>
      <c r="XS45" s="183" t="s">
        <v>517</v>
      </c>
      <c r="XT45" s="183" t="s">
        <v>635</v>
      </c>
      <c r="XU45" s="183" t="s">
        <v>526</v>
      </c>
      <c r="XV45" s="183" t="s">
        <v>517</v>
      </c>
      <c r="XW45" s="183" t="s">
        <v>517</v>
      </c>
      <c r="XX45" s="183" t="s">
        <v>517</v>
      </c>
      <c r="XY45" s="183" t="s">
        <v>517</v>
      </c>
      <c r="XZ45" s="183" t="s">
        <v>517</v>
      </c>
      <c r="YA45" s="183" t="s">
        <v>517</v>
      </c>
      <c r="YB45" s="183" t="s">
        <v>517</v>
      </c>
      <c r="YC45" s="183" t="s">
        <v>610</v>
      </c>
      <c r="YD45" s="183" t="s">
        <v>526</v>
      </c>
      <c r="YE45" s="183" t="s">
        <v>526</v>
      </c>
      <c r="YF45" s="183" t="s">
        <v>517</v>
      </c>
      <c r="YG45" s="183" t="s">
        <v>517</v>
      </c>
      <c r="YH45" s="183" t="s">
        <v>517</v>
      </c>
      <c r="YI45" s="183" t="s">
        <v>620</v>
      </c>
      <c r="YJ45" s="183" t="s">
        <v>517</v>
      </c>
      <c r="YK45" s="183" t="s">
        <v>555</v>
      </c>
      <c r="YL45" s="183" t="s">
        <v>584</v>
      </c>
      <c r="YM45" s="183" t="s">
        <v>584</v>
      </c>
      <c r="YN45" s="183" t="s">
        <v>517</v>
      </c>
      <c r="YO45" s="183" t="s">
        <v>566</v>
      </c>
      <c r="YP45" s="183" t="s">
        <v>517</v>
      </c>
      <c r="YQ45" s="183" t="s">
        <v>517</v>
      </c>
      <c r="YR45" s="183" t="s">
        <v>517</v>
      </c>
      <c r="YS45" s="183" t="s">
        <v>517</v>
      </c>
      <c r="YT45" s="183" t="s">
        <v>517</v>
      </c>
      <c r="YU45" s="183" t="s">
        <v>517</v>
      </c>
      <c r="YV45" s="183" t="s">
        <v>517</v>
      </c>
      <c r="YW45" s="183" t="s">
        <v>517</v>
      </c>
      <c r="YX45" s="183" t="s">
        <v>517</v>
      </c>
      <c r="YY45" s="183" t="s">
        <v>517</v>
      </c>
      <c r="YZ45" s="183" t="s">
        <v>517</v>
      </c>
      <c r="ZA45" s="183" t="s">
        <v>610</v>
      </c>
      <c r="ZB45" s="183" t="s">
        <v>517</v>
      </c>
      <c r="ZC45" s="183" t="s">
        <v>517</v>
      </c>
      <c r="ZL45" s="182" t="str">
        <f t="shared" si="1"/>
        <v>BREST -LYON</v>
      </c>
      <c r="ZM45" s="183" t="s">
        <v>536</v>
      </c>
      <c r="ZN45" s="182" t="s">
        <v>517</v>
      </c>
      <c r="ZO45" s="182">
        <v>765</v>
      </c>
      <c r="ZP45" s="198">
        <v>240.21</v>
      </c>
      <c r="ZQ45" s="193"/>
      <c r="ZR45" s="193"/>
      <c r="ZS45" s="193"/>
      <c r="ZT45" s="193"/>
    </row>
    <row r="46" spans="1:696" s="192" customFormat="1" ht="57.6">
      <c r="A46" s="91"/>
      <c r="B46" s="91"/>
      <c r="C46" s="91"/>
      <c r="D46" s="735"/>
      <c r="E46" s="189" t="s">
        <v>515</v>
      </c>
      <c r="F46" s="182" t="s">
        <v>683</v>
      </c>
      <c r="G46" s="182" t="s">
        <v>683</v>
      </c>
      <c r="H46" s="182" t="s">
        <v>683</v>
      </c>
      <c r="I46" s="182" t="s">
        <v>562</v>
      </c>
      <c r="J46" s="182" t="s">
        <v>562</v>
      </c>
      <c r="K46" s="182" t="s">
        <v>561</v>
      </c>
      <c r="L46" s="182" t="s">
        <v>561</v>
      </c>
      <c r="M46" s="182" t="s">
        <v>646</v>
      </c>
      <c r="N46" s="182" t="s">
        <v>704</v>
      </c>
      <c r="O46" s="182" t="s">
        <v>704</v>
      </c>
      <c r="P46" s="182" t="s">
        <v>517</v>
      </c>
      <c r="Q46" s="182" t="s">
        <v>620</v>
      </c>
      <c r="R46" s="182" t="s">
        <v>620</v>
      </c>
      <c r="S46" s="182" t="s">
        <v>620</v>
      </c>
      <c r="T46" s="182" t="s">
        <v>620</v>
      </c>
      <c r="U46" s="182" t="s">
        <v>620</v>
      </c>
      <c r="V46" s="182" t="s">
        <v>620</v>
      </c>
      <c r="W46" s="182" t="s">
        <v>620</v>
      </c>
      <c r="X46" s="182" t="s">
        <v>620</v>
      </c>
      <c r="Y46" s="182" t="s">
        <v>517</v>
      </c>
      <c r="Z46" s="182" t="s">
        <v>517</v>
      </c>
      <c r="AA46" s="182" t="s">
        <v>517</v>
      </c>
      <c r="AB46" s="182" t="s">
        <v>569</v>
      </c>
      <c r="AC46" s="182" t="s">
        <v>643</v>
      </c>
      <c r="AD46" s="182" t="s">
        <v>695</v>
      </c>
      <c r="AE46" s="182" t="s">
        <v>555</v>
      </c>
      <c r="AF46" s="182" t="s">
        <v>571</v>
      </c>
      <c r="AG46" s="182" t="s">
        <v>571</v>
      </c>
      <c r="AH46" s="182" t="s">
        <v>521</v>
      </c>
      <c r="AI46" s="182" t="s">
        <v>621</v>
      </c>
      <c r="AJ46" s="182" t="s">
        <v>621</v>
      </c>
      <c r="AK46" s="182" t="s">
        <v>621</v>
      </c>
      <c r="AL46" s="182" t="s">
        <v>621</v>
      </c>
      <c r="AM46" s="182" t="s">
        <v>587</v>
      </c>
      <c r="AN46" s="182" t="s">
        <v>587</v>
      </c>
      <c r="AO46" s="182" t="s">
        <v>706</v>
      </c>
      <c r="AP46" s="182" t="s">
        <v>517</v>
      </c>
      <c r="AQ46" s="182" t="s">
        <v>517</v>
      </c>
      <c r="AR46" s="182" t="s">
        <v>546</v>
      </c>
      <c r="AS46" s="182" t="s">
        <v>546</v>
      </c>
      <c r="AT46" s="182" t="s">
        <v>546</v>
      </c>
      <c r="AU46" s="182" t="s">
        <v>546</v>
      </c>
      <c r="AV46" s="182" t="s">
        <v>546</v>
      </c>
      <c r="AW46" s="182" t="s">
        <v>546</v>
      </c>
      <c r="AX46" s="182" t="s">
        <v>546</v>
      </c>
      <c r="AY46" s="182" t="s">
        <v>546</v>
      </c>
      <c r="AZ46" s="182" t="s">
        <v>546</v>
      </c>
      <c r="BA46" s="182" t="s">
        <v>546</v>
      </c>
      <c r="BB46" s="182" t="s">
        <v>546</v>
      </c>
      <c r="BC46" s="182" t="s">
        <v>546</v>
      </c>
      <c r="BD46" s="182" t="s">
        <v>546</v>
      </c>
      <c r="BE46" s="182" t="s">
        <v>546</v>
      </c>
      <c r="BF46" s="182" t="s">
        <v>546</v>
      </c>
      <c r="BG46" s="182" t="s">
        <v>546</v>
      </c>
      <c r="BH46" s="182" t="s">
        <v>546</v>
      </c>
      <c r="BI46" s="182" t="s">
        <v>546</v>
      </c>
      <c r="BJ46" s="182" t="s">
        <v>546</v>
      </c>
      <c r="BK46" s="182" t="s">
        <v>546</v>
      </c>
      <c r="BL46" s="182" t="s">
        <v>546</v>
      </c>
      <c r="BM46" s="182" t="s">
        <v>546</v>
      </c>
      <c r="BN46" s="182" t="s">
        <v>546</v>
      </c>
      <c r="BO46" s="182" t="s">
        <v>546</v>
      </c>
      <c r="BP46" s="182" t="s">
        <v>546</v>
      </c>
      <c r="BQ46" s="182" t="s">
        <v>546</v>
      </c>
      <c r="BR46" s="182" t="s">
        <v>546</v>
      </c>
      <c r="BS46" s="182" t="s">
        <v>546</v>
      </c>
      <c r="BT46" s="182" t="s">
        <v>546</v>
      </c>
      <c r="BU46" s="182" t="s">
        <v>546</v>
      </c>
      <c r="BV46" s="182" t="s">
        <v>546</v>
      </c>
      <c r="BW46" s="182" t="s">
        <v>546</v>
      </c>
      <c r="BX46" s="182" t="s">
        <v>517</v>
      </c>
      <c r="BY46" s="182" t="s">
        <v>517</v>
      </c>
      <c r="BZ46" s="182" t="s">
        <v>517</v>
      </c>
      <c r="CA46" s="182" t="s">
        <v>517</v>
      </c>
      <c r="CB46" s="182" t="s">
        <v>517</v>
      </c>
      <c r="CC46" s="182" t="s">
        <v>517</v>
      </c>
      <c r="CD46" s="182" t="s">
        <v>517</v>
      </c>
      <c r="CE46" s="182" t="s">
        <v>517</v>
      </c>
      <c r="CF46" s="182" t="s">
        <v>517</v>
      </c>
      <c r="CG46" s="182" t="s">
        <v>517</v>
      </c>
      <c r="CH46" s="182" t="s">
        <v>517</v>
      </c>
      <c r="CI46" s="182" t="s">
        <v>517</v>
      </c>
      <c r="CJ46" s="182" t="s">
        <v>517</v>
      </c>
      <c r="CK46" s="182" t="s">
        <v>517</v>
      </c>
      <c r="CL46" s="182" t="s">
        <v>517</v>
      </c>
      <c r="CM46" s="182" t="s">
        <v>517</v>
      </c>
      <c r="CN46" s="182" t="s">
        <v>517</v>
      </c>
      <c r="CO46" s="182" t="s">
        <v>517</v>
      </c>
      <c r="CP46" s="182" t="s">
        <v>517</v>
      </c>
      <c r="CQ46" s="182" t="s">
        <v>517</v>
      </c>
      <c r="CR46" s="182" t="s">
        <v>517</v>
      </c>
      <c r="CS46" s="182" t="s">
        <v>517</v>
      </c>
      <c r="CT46" s="182" t="s">
        <v>517</v>
      </c>
      <c r="CU46" s="182" t="s">
        <v>517</v>
      </c>
      <c r="CV46" s="182" t="s">
        <v>517</v>
      </c>
      <c r="CW46" s="182" t="s">
        <v>517</v>
      </c>
      <c r="CX46" s="182" t="s">
        <v>517</v>
      </c>
      <c r="CY46" s="182" t="s">
        <v>669</v>
      </c>
      <c r="CZ46" s="182" t="s">
        <v>517</v>
      </c>
      <c r="DA46" s="182" t="s">
        <v>622</v>
      </c>
      <c r="DB46" s="182" t="s">
        <v>622</v>
      </c>
      <c r="DC46" s="182" t="s">
        <v>622</v>
      </c>
      <c r="DD46" s="182" t="s">
        <v>526</v>
      </c>
      <c r="DE46" s="182" t="s">
        <v>526</v>
      </c>
      <c r="DF46" s="182" t="s">
        <v>566</v>
      </c>
      <c r="DG46" s="182" t="s">
        <v>566</v>
      </c>
      <c r="DH46" s="182" t="s">
        <v>517</v>
      </c>
      <c r="DI46" s="182" t="s">
        <v>517</v>
      </c>
      <c r="DJ46" s="182" t="s">
        <v>517</v>
      </c>
      <c r="DK46" s="182" t="s">
        <v>517</v>
      </c>
      <c r="DL46" s="182" t="s">
        <v>517</v>
      </c>
      <c r="DM46" s="182" t="s">
        <v>664</v>
      </c>
      <c r="DN46" s="182" t="s">
        <v>664</v>
      </c>
      <c r="DO46" s="182" t="s">
        <v>698</v>
      </c>
      <c r="DP46" s="182" t="s">
        <v>698</v>
      </c>
      <c r="DQ46" s="182" t="s">
        <v>698</v>
      </c>
      <c r="DR46" s="182" t="s">
        <v>517</v>
      </c>
      <c r="DS46" s="182" t="s">
        <v>526</v>
      </c>
      <c r="DT46" s="182" t="s">
        <v>573</v>
      </c>
      <c r="DU46" s="182" t="s">
        <v>573</v>
      </c>
      <c r="DV46" s="182" t="s">
        <v>573</v>
      </c>
      <c r="DW46" s="182" t="s">
        <v>573</v>
      </c>
      <c r="DX46" s="182" t="s">
        <v>517</v>
      </c>
      <c r="DY46" s="182" t="s">
        <v>517</v>
      </c>
      <c r="DZ46" s="182" t="s">
        <v>517</v>
      </c>
      <c r="EA46" s="182" t="s">
        <v>517</v>
      </c>
      <c r="EB46" s="182" t="s">
        <v>517</v>
      </c>
      <c r="EC46" s="182" t="s">
        <v>517</v>
      </c>
      <c r="ED46" s="182" t="s">
        <v>517</v>
      </c>
      <c r="EE46" s="182" t="s">
        <v>517</v>
      </c>
      <c r="EF46" s="182" t="s">
        <v>655</v>
      </c>
      <c r="EG46" s="182" t="s">
        <v>517</v>
      </c>
      <c r="EH46" s="182" t="s">
        <v>524</v>
      </c>
      <c r="EI46" s="182" t="s">
        <v>524</v>
      </c>
      <c r="EJ46" s="182" t="s">
        <v>708</v>
      </c>
      <c r="EK46" s="182" t="s">
        <v>517</v>
      </c>
      <c r="EL46" s="182" t="s">
        <v>517</v>
      </c>
      <c r="EM46" s="182" t="s">
        <v>560</v>
      </c>
      <c r="EN46" s="182" t="s">
        <v>560</v>
      </c>
      <c r="EO46" s="182" t="s">
        <v>560</v>
      </c>
      <c r="EP46" s="182" t="s">
        <v>560</v>
      </c>
      <c r="EQ46" s="182" t="s">
        <v>560</v>
      </c>
      <c r="ER46" s="182" t="s">
        <v>517</v>
      </c>
      <c r="ES46" s="182" t="s">
        <v>517</v>
      </c>
      <c r="ET46" s="182" t="s">
        <v>517</v>
      </c>
      <c r="EU46" s="182" t="s">
        <v>517</v>
      </c>
      <c r="EV46" s="182" t="s">
        <v>623</v>
      </c>
      <c r="EW46" s="182" t="s">
        <v>623</v>
      </c>
      <c r="EX46" s="182" t="s">
        <v>623</v>
      </c>
      <c r="EY46" s="182" t="s">
        <v>517</v>
      </c>
      <c r="EZ46" s="182" t="s">
        <v>517</v>
      </c>
      <c r="FA46" s="182" t="s">
        <v>517</v>
      </c>
      <c r="FB46" s="182" t="s">
        <v>563</v>
      </c>
      <c r="FC46" s="182" t="s">
        <v>702</v>
      </c>
      <c r="FD46" s="182" t="s">
        <v>702</v>
      </c>
      <c r="FE46" s="182" t="s">
        <v>517</v>
      </c>
      <c r="FF46" s="182" t="s">
        <v>517</v>
      </c>
      <c r="FG46" s="182" t="s">
        <v>517</v>
      </c>
      <c r="FH46" s="182" t="s">
        <v>517</v>
      </c>
      <c r="FI46" s="182" t="s">
        <v>529</v>
      </c>
      <c r="FJ46" s="182" t="s">
        <v>529</v>
      </c>
      <c r="FK46" s="182" t="s">
        <v>529</v>
      </c>
      <c r="FL46" s="182" t="s">
        <v>529</v>
      </c>
      <c r="FM46" s="182" t="s">
        <v>529</v>
      </c>
      <c r="FN46" s="182" t="s">
        <v>529</v>
      </c>
      <c r="FO46" s="182" t="s">
        <v>529</v>
      </c>
      <c r="FP46" s="182" t="s">
        <v>529</v>
      </c>
      <c r="FQ46" s="182" t="s">
        <v>529</v>
      </c>
      <c r="FR46" s="182" t="s">
        <v>529</v>
      </c>
      <c r="FS46" s="182" t="s">
        <v>529</v>
      </c>
      <c r="FT46" s="182" t="s">
        <v>529</v>
      </c>
      <c r="FU46" s="182" t="s">
        <v>529</v>
      </c>
      <c r="FV46" s="182" t="s">
        <v>529</v>
      </c>
      <c r="FW46" s="182" t="s">
        <v>529</v>
      </c>
      <c r="FX46" s="182" t="s">
        <v>529</v>
      </c>
      <c r="FY46" s="182" t="s">
        <v>529</v>
      </c>
      <c r="FZ46" s="182" t="s">
        <v>517</v>
      </c>
      <c r="GA46" s="182" t="s">
        <v>537</v>
      </c>
      <c r="GB46" s="182" t="s">
        <v>537</v>
      </c>
      <c r="GC46" s="182" t="s">
        <v>521</v>
      </c>
      <c r="GD46" s="182" t="s">
        <v>521</v>
      </c>
      <c r="GE46" s="182" t="s">
        <v>521</v>
      </c>
      <c r="GF46" s="182" t="s">
        <v>521</v>
      </c>
      <c r="GG46" s="182" t="s">
        <v>521</v>
      </c>
      <c r="GH46" s="182" t="s">
        <v>521</v>
      </c>
      <c r="GI46" s="182" t="s">
        <v>521</v>
      </c>
      <c r="GJ46" s="182" t="s">
        <v>521</v>
      </c>
      <c r="GK46" s="182" t="s">
        <v>521</v>
      </c>
      <c r="GL46" s="182" t="s">
        <v>521</v>
      </c>
      <c r="GM46" s="182" t="s">
        <v>521</v>
      </c>
      <c r="GN46" s="182" t="s">
        <v>521</v>
      </c>
      <c r="GO46" s="182" t="s">
        <v>521</v>
      </c>
      <c r="GP46" s="182" t="s">
        <v>521</v>
      </c>
      <c r="GQ46" s="182" t="s">
        <v>517</v>
      </c>
      <c r="GR46" s="182" t="s">
        <v>546</v>
      </c>
      <c r="GS46" s="182" t="s">
        <v>526</v>
      </c>
      <c r="GT46" s="182" t="s">
        <v>521</v>
      </c>
      <c r="GU46" s="182" t="s">
        <v>521</v>
      </c>
      <c r="GV46" s="182" t="s">
        <v>573</v>
      </c>
      <c r="GW46" s="182" t="s">
        <v>517</v>
      </c>
      <c r="GX46" s="182" t="s">
        <v>517</v>
      </c>
      <c r="GY46" s="182" t="s">
        <v>517</v>
      </c>
      <c r="GZ46" s="182" t="s">
        <v>589</v>
      </c>
      <c r="HA46" s="182" t="s">
        <v>589</v>
      </c>
      <c r="HB46" s="182" t="s">
        <v>665</v>
      </c>
      <c r="HC46" s="182" t="s">
        <v>665</v>
      </c>
      <c r="HD46" s="182" t="s">
        <v>557</v>
      </c>
      <c r="HE46" s="182" t="s">
        <v>517</v>
      </c>
      <c r="HF46" s="182" t="s">
        <v>596</v>
      </c>
      <c r="HG46" s="182" t="s">
        <v>546</v>
      </c>
      <c r="HH46" s="182" t="s">
        <v>526</v>
      </c>
      <c r="HI46" s="182" t="s">
        <v>517</v>
      </c>
      <c r="HJ46" s="182" t="s">
        <v>517</v>
      </c>
      <c r="HK46" s="182" t="s">
        <v>585</v>
      </c>
      <c r="HL46" s="182" t="s">
        <v>584</v>
      </c>
      <c r="HM46" s="182" t="s">
        <v>526</v>
      </c>
      <c r="HN46" s="182" t="s">
        <v>526</v>
      </c>
      <c r="HO46" s="182" t="s">
        <v>526</v>
      </c>
      <c r="HP46" s="182" t="s">
        <v>529</v>
      </c>
      <c r="HQ46" s="182" t="s">
        <v>572</v>
      </c>
      <c r="HR46" s="182" t="s">
        <v>517</v>
      </c>
      <c r="HS46" s="182" t="s">
        <v>517</v>
      </c>
      <c r="HT46" s="182" t="s">
        <v>517</v>
      </c>
      <c r="HU46" s="182" t="s">
        <v>517</v>
      </c>
      <c r="HV46" s="182" t="s">
        <v>517</v>
      </c>
      <c r="HW46" s="182" t="s">
        <v>517</v>
      </c>
      <c r="HX46" s="182" t="s">
        <v>517</v>
      </c>
      <c r="HY46" s="182" t="s">
        <v>517</v>
      </c>
      <c r="HZ46" s="182" t="s">
        <v>517</v>
      </c>
      <c r="IA46" s="182" t="s">
        <v>517</v>
      </c>
      <c r="IB46" s="182" t="s">
        <v>517</v>
      </c>
      <c r="IC46" s="182" t="s">
        <v>517</v>
      </c>
      <c r="ID46" s="182" t="s">
        <v>517</v>
      </c>
      <c r="IE46" s="182" t="s">
        <v>553</v>
      </c>
      <c r="IF46" s="182" t="s">
        <v>553</v>
      </c>
      <c r="IG46" s="182" t="s">
        <v>553</v>
      </c>
      <c r="IH46" s="182" t="s">
        <v>553</v>
      </c>
      <c r="II46" s="182" t="s">
        <v>553</v>
      </c>
      <c r="IJ46" s="182" t="s">
        <v>553</v>
      </c>
      <c r="IK46" s="182" t="s">
        <v>553</v>
      </c>
      <c r="IL46" s="182" t="s">
        <v>553</v>
      </c>
      <c r="IM46" s="182" t="s">
        <v>520</v>
      </c>
      <c r="IN46" s="182" t="s">
        <v>520</v>
      </c>
      <c r="IO46" s="182" t="s">
        <v>681</v>
      </c>
      <c r="IP46" s="182" t="s">
        <v>592</v>
      </c>
      <c r="IQ46" s="182" t="s">
        <v>592</v>
      </c>
      <c r="IR46" s="182" t="s">
        <v>517</v>
      </c>
      <c r="IS46" s="182" t="s">
        <v>556</v>
      </c>
      <c r="IT46" s="182" t="s">
        <v>556</v>
      </c>
      <c r="IU46" s="182" t="s">
        <v>546</v>
      </c>
      <c r="IV46" s="182" t="s">
        <v>546</v>
      </c>
      <c r="IW46" s="182" t="s">
        <v>546</v>
      </c>
      <c r="IX46" s="182" t="s">
        <v>546</v>
      </c>
      <c r="IY46" s="182" t="s">
        <v>517</v>
      </c>
      <c r="IZ46" s="182" t="s">
        <v>581</v>
      </c>
      <c r="JA46" s="182" t="s">
        <v>581</v>
      </c>
      <c r="JB46" s="182" t="s">
        <v>581</v>
      </c>
      <c r="JC46" s="182" t="s">
        <v>581</v>
      </c>
      <c r="JD46" s="182" t="s">
        <v>666</v>
      </c>
      <c r="JE46" s="182" t="s">
        <v>572</v>
      </c>
      <c r="JF46" s="182" t="s">
        <v>547</v>
      </c>
      <c r="JG46" s="182" t="s">
        <v>593</v>
      </c>
      <c r="JH46" s="182" t="s">
        <v>593</v>
      </c>
      <c r="JI46" s="182" t="s">
        <v>526</v>
      </c>
      <c r="JJ46" s="182" t="s">
        <v>526</v>
      </c>
      <c r="JK46" s="182" t="s">
        <v>527</v>
      </c>
      <c r="JL46" s="182" t="s">
        <v>527</v>
      </c>
      <c r="JM46" s="182" t="s">
        <v>639</v>
      </c>
      <c r="JN46" s="182" t="s">
        <v>639</v>
      </c>
      <c r="JO46" s="182" t="s">
        <v>639</v>
      </c>
      <c r="JP46" s="182" t="s">
        <v>639</v>
      </c>
      <c r="JQ46" s="182" t="s">
        <v>639</v>
      </c>
      <c r="JR46" s="182" t="s">
        <v>517</v>
      </c>
      <c r="JS46" s="182" t="s">
        <v>517</v>
      </c>
      <c r="JT46" s="182" t="s">
        <v>611</v>
      </c>
      <c r="JU46" s="182" t="s">
        <v>531</v>
      </c>
      <c r="JV46" s="182" t="s">
        <v>531</v>
      </c>
      <c r="JW46" s="182" t="s">
        <v>531</v>
      </c>
      <c r="JX46" s="182" t="s">
        <v>531</v>
      </c>
      <c r="JY46" s="182" t="s">
        <v>531</v>
      </c>
      <c r="JZ46" s="182" t="s">
        <v>531</v>
      </c>
      <c r="KA46" s="182" t="s">
        <v>531</v>
      </c>
      <c r="KB46" s="182" t="s">
        <v>566</v>
      </c>
      <c r="KC46" s="182" t="s">
        <v>601</v>
      </c>
      <c r="KD46" s="182" t="s">
        <v>542</v>
      </c>
      <c r="KE46" s="182" t="s">
        <v>542</v>
      </c>
      <c r="KF46" s="182" t="s">
        <v>542</v>
      </c>
      <c r="KG46" s="182" t="s">
        <v>542</v>
      </c>
      <c r="KH46" s="182" t="s">
        <v>517</v>
      </c>
      <c r="KI46" s="182" t="s">
        <v>517</v>
      </c>
      <c r="KJ46" s="182" t="s">
        <v>517</v>
      </c>
      <c r="KK46" s="182" t="s">
        <v>517</v>
      </c>
      <c r="KL46" s="182" t="s">
        <v>662</v>
      </c>
      <c r="KM46" s="182" t="s">
        <v>662</v>
      </c>
      <c r="KN46" s="182" t="s">
        <v>662</v>
      </c>
      <c r="KO46" s="182" t="s">
        <v>662</v>
      </c>
      <c r="KP46" s="182" t="s">
        <v>662</v>
      </c>
      <c r="KQ46" s="182" t="s">
        <v>662</v>
      </c>
      <c r="KR46" s="182" t="s">
        <v>662</v>
      </c>
      <c r="KS46" s="182" t="s">
        <v>603</v>
      </c>
      <c r="KT46" s="182" t="s">
        <v>603</v>
      </c>
      <c r="KU46" s="182" t="s">
        <v>630</v>
      </c>
      <c r="KV46" s="182" t="s">
        <v>521</v>
      </c>
      <c r="KW46" s="182" t="s">
        <v>674</v>
      </c>
      <c r="KX46" s="182" t="s">
        <v>674</v>
      </c>
      <c r="KY46" s="182" t="s">
        <v>593</v>
      </c>
      <c r="KZ46" s="182" t="s">
        <v>593</v>
      </c>
      <c r="LA46" s="182" t="s">
        <v>553</v>
      </c>
      <c r="LB46" s="182" t="s">
        <v>613</v>
      </c>
      <c r="LC46" s="182" t="s">
        <v>613</v>
      </c>
      <c r="LD46" s="182" t="s">
        <v>613</v>
      </c>
      <c r="LE46" s="182" t="s">
        <v>613</v>
      </c>
      <c r="LF46" s="182" t="s">
        <v>533</v>
      </c>
      <c r="LG46" s="182" t="s">
        <v>533</v>
      </c>
      <c r="LH46" s="182" t="s">
        <v>533</v>
      </c>
      <c r="LI46" s="182" t="s">
        <v>533</v>
      </c>
      <c r="LJ46" s="182" t="s">
        <v>533</v>
      </c>
      <c r="LK46" s="182" t="s">
        <v>533</v>
      </c>
      <c r="LL46" s="182" t="s">
        <v>533</v>
      </c>
      <c r="LM46" s="182" t="s">
        <v>533</v>
      </c>
      <c r="LN46" s="182" t="s">
        <v>533</v>
      </c>
      <c r="LO46" s="182" t="s">
        <v>533</v>
      </c>
      <c r="LP46" s="182" t="s">
        <v>533</v>
      </c>
      <c r="LQ46" s="182" t="s">
        <v>533</v>
      </c>
      <c r="LR46" s="182" t="s">
        <v>533</v>
      </c>
      <c r="LS46" s="182" t="s">
        <v>600</v>
      </c>
      <c r="LT46" s="182" t="s">
        <v>600</v>
      </c>
      <c r="LU46" s="182" t="s">
        <v>701</v>
      </c>
      <c r="LV46" s="182" t="s">
        <v>701</v>
      </c>
      <c r="LW46" s="182" t="s">
        <v>701</v>
      </c>
      <c r="LX46" s="182" t="s">
        <v>701</v>
      </c>
      <c r="LY46" s="182" t="s">
        <v>653</v>
      </c>
      <c r="LZ46" s="182" t="s">
        <v>542</v>
      </c>
      <c r="MA46" s="182" t="s">
        <v>542</v>
      </c>
      <c r="MB46" s="182" t="s">
        <v>610</v>
      </c>
      <c r="MC46" s="182" t="s">
        <v>610</v>
      </c>
      <c r="MD46" s="182" t="s">
        <v>610</v>
      </c>
      <c r="ME46" s="182" t="s">
        <v>610</v>
      </c>
      <c r="MF46" s="182" t="s">
        <v>607</v>
      </c>
      <c r="MG46" s="182" t="s">
        <v>588</v>
      </c>
      <c r="MH46" s="182" t="s">
        <v>588</v>
      </c>
      <c r="MI46" s="182" t="s">
        <v>588</v>
      </c>
      <c r="MJ46" s="182" t="s">
        <v>588</v>
      </c>
      <c r="MK46" s="182" t="s">
        <v>588</v>
      </c>
      <c r="ML46" s="182" t="s">
        <v>517</v>
      </c>
      <c r="MM46" s="182" t="s">
        <v>517</v>
      </c>
      <c r="MN46" s="182" t="s">
        <v>517</v>
      </c>
      <c r="MO46" s="182" t="s">
        <v>517</v>
      </c>
      <c r="MP46" s="182" t="s">
        <v>539</v>
      </c>
      <c r="MQ46" s="182" t="s">
        <v>539</v>
      </c>
      <c r="MR46" s="182" t="s">
        <v>539</v>
      </c>
      <c r="MS46" s="182" t="s">
        <v>539</v>
      </c>
      <c r="MT46" s="182" t="s">
        <v>517</v>
      </c>
      <c r="MU46" s="182" t="s">
        <v>526</v>
      </c>
      <c r="MV46" s="182" t="s">
        <v>663</v>
      </c>
      <c r="MW46" s="182" t="s">
        <v>583</v>
      </c>
      <c r="MX46" s="182" t="s">
        <v>517</v>
      </c>
      <c r="MY46" s="182" t="s">
        <v>556</v>
      </c>
      <c r="MZ46" s="182" t="s">
        <v>556</v>
      </c>
      <c r="NA46" s="182" t="s">
        <v>556</v>
      </c>
      <c r="NB46" s="182" t="s">
        <v>556</v>
      </c>
      <c r="NC46" s="182" t="s">
        <v>556</v>
      </c>
      <c r="ND46" s="182" t="s">
        <v>556</v>
      </c>
      <c r="NE46" s="182" t="s">
        <v>556</v>
      </c>
      <c r="NF46" s="182" t="s">
        <v>556</v>
      </c>
      <c r="NG46" s="182" t="s">
        <v>556</v>
      </c>
      <c r="NH46" s="182" t="s">
        <v>556</v>
      </c>
      <c r="NI46" s="182" t="s">
        <v>556</v>
      </c>
      <c r="NJ46" s="182" t="s">
        <v>556</v>
      </c>
      <c r="NK46" s="182" t="s">
        <v>556</v>
      </c>
      <c r="NL46" s="182" t="s">
        <v>556</v>
      </c>
      <c r="NM46" s="182" t="s">
        <v>556</v>
      </c>
      <c r="NN46" s="182" t="s">
        <v>577</v>
      </c>
      <c r="NO46" s="182" t="s">
        <v>517</v>
      </c>
      <c r="NP46" s="182" t="s">
        <v>517</v>
      </c>
      <c r="NQ46" s="182" t="s">
        <v>517</v>
      </c>
      <c r="NR46" s="182" t="s">
        <v>552</v>
      </c>
      <c r="NS46" s="182" t="s">
        <v>552</v>
      </c>
      <c r="NT46" s="182" t="s">
        <v>552</v>
      </c>
      <c r="NU46" s="182" t="s">
        <v>552</v>
      </c>
      <c r="NV46" s="182" t="s">
        <v>552</v>
      </c>
      <c r="NW46" s="182" t="s">
        <v>552</v>
      </c>
      <c r="NX46" s="182" t="s">
        <v>552</v>
      </c>
      <c r="NY46" s="182" t="s">
        <v>519</v>
      </c>
      <c r="NZ46" s="182" t="s">
        <v>519</v>
      </c>
      <c r="OA46" s="182" t="s">
        <v>519</v>
      </c>
      <c r="OB46" s="182" t="s">
        <v>519</v>
      </c>
      <c r="OC46" s="182" t="s">
        <v>558</v>
      </c>
      <c r="OD46" s="182" t="s">
        <v>601</v>
      </c>
      <c r="OE46" s="182" t="s">
        <v>592</v>
      </c>
      <c r="OF46" s="182" t="s">
        <v>592</v>
      </c>
      <c r="OG46" s="182" t="s">
        <v>549</v>
      </c>
      <c r="OH46" s="182" t="s">
        <v>610</v>
      </c>
      <c r="OI46" s="182" t="s">
        <v>584</v>
      </c>
      <c r="OJ46" s="182" t="s">
        <v>584</v>
      </c>
      <c r="OK46" s="182" t="s">
        <v>584</v>
      </c>
      <c r="OL46" s="182" t="s">
        <v>584</v>
      </c>
      <c r="OM46" s="182" t="s">
        <v>584</v>
      </c>
      <c r="ON46" s="182" t="s">
        <v>625</v>
      </c>
      <c r="OO46" s="182" t="s">
        <v>517</v>
      </c>
      <c r="OP46" s="182" t="s">
        <v>517</v>
      </c>
      <c r="OQ46" s="182" t="s">
        <v>667</v>
      </c>
      <c r="OR46" s="182" t="s">
        <v>517</v>
      </c>
      <c r="OS46" s="182" t="s">
        <v>671</v>
      </c>
      <c r="OT46" s="182" t="s">
        <v>671</v>
      </c>
      <c r="OU46" s="182" t="s">
        <v>517</v>
      </c>
      <c r="OV46" s="182" t="s">
        <v>619</v>
      </c>
      <c r="OW46" s="182" t="s">
        <v>619</v>
      </c>
      <c r="OX46" s="182" t="s">
        <v>619</v>
      </c>
      <c r="OY46" s="182" t="s">
        <v>619</v>
      </c>
      <c r="OZ46" s="182" t="s">
        <v>619</v>
      </c>
      <c r="PA46" s="182" t="s">
        <v>619</v>
      </c>
      <c r="PB46" s="182" t="s">
        <v>619</v>
      </c>
      <c r="PC46" s="182" t="s">
        <v>546</v>
      </c>
      <c r="PD46" s="182" t="s">
        <v>545</v>
      </c>
      <c r="PE46" s="182" t="s">
        <v>545</v>
      </c>
      <c r="PF46" s="182" t="s">
        <v>545</v>
      </c>
      <c r="PG46" s="182" t="s">
        <v>545</v>
      </c>
      <c r="PH46" s="182" t="s">
        <v>545</v>
      </c>
      <c r="PI46" s="182" t="s">
        <v>517</v>
      </c>
      <c r="PJ46" s="182" t="s">
        <v>517</v>
      </c>
      <c r="PK46" s="182" t="s">
        <v>595</v>
      </c>
      <c r="PL46" s="182" t="s">
        <v>595</v>
      </c>
      <c r="PM46" s="182" t="s">
        <v>676</v>
      </c>
      <c r="PN46" s="182" t="s">
        <v>676</v>
      </c>
      <c r="PO46" s="182" t="s">
        <v>676</v>
      </c>
      <c r="PP46" s="182" t="s">
        <v>676</v>
      </c>
      <c r="PQ46" s="182" t="s">
        <v>577</v>
      </c>
      <c r="PR46" s="182" t="s">
        <v>657</v>
      </c>
      <c r="PS46" s="182" t="s">
        <v>657</v>
      </c>
      <c r="PT46" s="182" t="s">
        <v>517</v>
      </c>
      <c r="PU46" s="182" t="s">
        <v>559</v>
      </c>
      <c r="PV46" s="182" t="s">
        <v>517</v>
      </c>
      <c r="PW46" s="182" t="s">
        <v>558</v>
      </c>
      <c r="PX46" s="182" t="s">
        <v>558</v>
      </c>
      <c r="PY46" s="182" t="s">
        <v>574</v>
      </c>
      <c r="PZ46" s="182" t="s">
        <v>682</v>
      </c>
      <c r="QA46" s="182" t="s">
        <v>682</v>
      </c>
      <c r="QB46" s="182" t="s">
        <v>545</v>
      </c>
      <c r="QC46" s="182" t="s">
        <v>545</v>
      </c>
      <c r="QD46" s="182" t="s">
        <v>545</v>
      </c>
      <c r="QE46" s="182" t="s">
        <v>545</v>
      </c>
      <c r="QF46" s="182" t="s">
        <v>526</v>
      </c>
      <c r="QG46" s="182" t="s">
        <v>526</v>
      </c>
      <c r="QH46" s="182" t="s">
        <v>632</v>
      </c>
      <c r="QI46" s="182" t="s">
        <v>632</v>
      </c>
      <c r="QJ46" s="182" t="s">
        <v>632</v>
      </c>
      <c r="QK46" s="182" t="s">
        <v>632</v>
      </c>
      <c r="QL46" s="182" t="s">
        <v>640</v>
      </c>
      <c r="QM46" s="182" t="s">
        <v>517</v>
      </c>
      <c r="QN46" s="182" t="s">
        <v>522</v>
      </c>
      <c r="QO46" s="182" t="s">
        <v>522</v>
      </c>
      <c r="QP46" s="182" t="s">
        <v>642</v>
      </c>
      <c r="QQ46" s="182" t="s">
        <v>642</v>
      </c>
      <c r="QR46" s="182" t="s">
        <v>517</v>
      </c>
      <c r="QS46" s="182" t="s">
        <v>517</v>
      </c>
      <c r="QT46" s="182" t="s">
        <v>575</v>
      </c>
      <c r="QU46" s="182" t="s">
        <v>545</v>
      </c>
      <c r="QV46" s="182" t="s">
        <v>545</v>
      </c>
      <c r="QW46" s="182" t="s">
        <v>545</v>
      </c>
      <c r="QX46" s="182" t="s">
        <v>545</v>
      </c>
      <c r="QY46" s="182" t="s">
        <v>545</v>
      </c>
      <c r="QZ46" s="182" t="s">
        <v>545</v>
      </c>
      <c r="RA46" s="182" t="s">
        <v>545</v>
      </c>
      <c r="RB46" s="182" t="s">
        <v>545</v>
      </c>
      <c r="RC46" s="182" t="s">
        <v>545</v>
      </c>
      <c r="RD46" s="182" t="s">
        <v>526</v>
      </c>
      <c r="RE46" s="182" t="s">
        <v>627</v>
      </c>
      <c r="RF46" s="182" t="s">
        <v>627</v>
      </c>
      <c r="RG46" s="182" t="s">
        <v>677</v>
      </c>
      <c r="RH46" s="182" t="s">
        <v>517</v>
      </c>
      <c r="RI46" s="182" t="s">
        <v>575</v>
      </c>
      <c r="RJ46" s="182" t="s">
        <v>575</v>
      </c>
      <c r="RK46" s="182" t="s">
        <v>668</v>
      </c>
      <c r="RL46" s="182" t="s">
        <v>668</v>
      </c>
      <c r="RM46" s="182" t="s">
        <v>517</v>
      </c>
      <c r="RN46" s="182" t="s">
        <v>517</v>
      </c>
      <c r="RO46" s="182" t="s">
        <v>517</v>
      </c>
      <c r="RP46" s="182" t="s">
        <v>545</v>
      </c>
      <c r="RQ46" s="182" t="s">
        <v>545</v>
      </c>
      <c r="RR46" s="182" t="s">
        <v>545</v>
      </c>
      <c r="RS46" s="182" t="s">
        <v>545</v>
      </c>
      <c r="RT46" s="182" t="s">
        <v>545</v>
      </c>
      <c r="RU46" s="182" t="s">
        <v>545</v>
      </c>
      <c r="RV46" s="182" t="s">
        <v>545</v>
      </c>
      <c r="RW46" s="182" t="s">
        <v>545</v>
      </c>
      <c r="RX46" s="182" t="s">
        <v>545</v>
      </c>
      <c r="RY46" s="182" t="s">
        <v>545</v>
      </c>
      <c r="RZ46" s="182" t="s">
        <v>545</v>
      </c>
      <c r="SA46" s="182" t="s">
        <v>545</v>
      </c>
      <c r="SB46" s="182" t="s">
        <v>656</v>
      </c>
      <c r="SC46" s="182" t="s">
        <v>656</v>
      </c>
      <c r="SD46" s="182" t="s">
        <v>656</v>
      </c>
      <c r="SE46" s="182" t="s">
        <v>656</v>
      </c>
      <c r="SF46" s="182" t="s">
        <v>656</v>
      </c>
      <c r="SG46" s="182" t="s">
        <v>522</v>
      </c>
      <c r="SH46" s="182" t="s">
        <v>548</v>
      </c>
      <c r="SI46" s="182" t="s">
        <v>678</v>
      </c>
      <c r="SJ46" s="182" t="s">
        <v>678</v>
      </c>
      <c r="SK46" s="182" t="s">
        <v>680</v>
      </c>
      <c r="SL46" s="182" t="s">
        <v>680</v>
      </c>
      <c r="SM46" s="182" t="s">
        <v>517</v>
      </c>
      <c r="SN46" s="182" t="s">
        <v>568</v>
      </c>
      <c r="SO46" s="182" t="s">
        <v>580</v>
      </c>
      <c r="SP46" s="182" t="s">
        <v>675</v>
      </c>
      <c r="SQ46" s="182" t="s">
        <v>675</v>
      </c>
      <c r="SR46" s="182" t="s">
        <v>675</v>
      </c>
      <c r="SS46" s="182" t="s">
        <v>673</v>
      </c>
      <c r="ST46" s="182" t="s">
        <v>673</v>
      </c>
      <c r="SU46" s="182" t="s">
        <v>517</v>
      </c>
      <c r="SV46" s="182" t="s">
        <v>517</v>
      </c>
      <c r="SW46" s="182" t="s">
        <v>517</v>
      </c>
      <c r="SX46" s="182" t="s">
        <v>526</v>
      </c>
      <c r="SY46" s="182" t="s">
        <v>548</v>
      </c>
      <c r="SZ46" s="182" t="s">
        <v>658</v>
      </c>
      <c r="TA46" s="182" t="s">
        <v>658</v>
      </c>
      <c r="TB46" s="182" t="s">
        <v>517</v>
      </c>
      <c r="TC46" s="182" t="s">
        <v>644</v>
      </c>
      <c r="TD46" s="182" t="s">
        <v>644</v>
      </c>
      <c r="TE46" s="182" t="s">
        <v>644</v>
      </c>
      <c r="TF46" s="182" t="s">
        <v>644</v>
      </c>
      <c r="TG46" s="182" t="s">
        <v>517</v>
      </c>
      <c r="TH46" s="182" t="s">
        <v>517</v>
      </c>
      <c r="TI46" s="182" t="s">
        <v>517</v>
      </c>
      <c r="TJ46" s="182" t="s">
        <v>517</v>
      </c>
      <c r="TK46" s="182" t="s">
        <v>548</v>
      </c>
      <c r="TL46" s="182" t="s">
        <v>519</v>
      </c>
      <c r="TM46" s="182" t="s">
        <v>518</v>
      </c>
      <c r="TN46" s="182" t="s">
        <v>526</v>
      </c>
      <c r="TO46" s="182" t="s">
        <v>535</v>
      </c>
      <c r="TP46" s="182" t="s">
        <v>535</v>
      </c>
      <c r="TQ46" s="182" t="s">
        <v>535</v>
      </c>
      <c r="TR46" s="182" t="s">
        <v>605</v>
      </c>
      <c r="TS46" s="182" t="s">
        <v>605</v>
      </c>
      <c r="TT46" s="182" t="s">
        <v>605</v>
      </c>
      <c r="TU46" s="182" t="s">
        <v>605</v>
      </c>
      <c r="TV46" s="182" t="s">
        <v>605</v>
      </c>
      <c r="TW46" s="182" t="s">
        <v>605</v>
      </c>
      <c r="TX46" s="182" t="s">
        <v>517</v>
      </c>
      <c r="TY46" s="182" t="s">
        <v>571</v>
      </c>
      <c r="TZ46" s="182" t="s">
        <v>571</v>
      </c>
      <c r="UA46" s="182" t="s">
        <v>571</v>
      </c>
      <c r="UB46" s="182" t="s">
        <v>571</v>
      </c>
      <c r="UC46" s="182" t="s">
        <v>684</v>
      </c>
      <c r="UD46" s="182" t="s">
        <v>685</v>
      </c>
      <c r="UE46" s="182" t="s">
        <v>660</v>
      </c>
      <c r="UF46" s="182" t="s">
        <v>659</v>
      </c>
      <c r="UG46" s="182" t="s">
        <v>683</v>
      </c>
      <c r="UH46" s="182" t="s">
        <v>646</v>
      </c>
      <c r="UI46" s="182" t="s">
        <v>646</v>
      </c>
      <c r="UJ46" s="182" t="s">
        <v>646</v>
      </c>
      <c r="UK46" s="182" t="s">
        <v>646</v>
      </c>
      <c r="UL46" s="182" t="s">
        <v>646</v>
      </c>
      <c r="UM46" s="182" t="s">
        <v>646</v>
      </c>
      <c r="UN46" s="182" t="s">
        <v>646</v>
      </c>
      <c r="UO46" s="182" t="s">
        <v>646</v>
      </c>
      <c r="UP46" s="182" t="s">
        <v>646</v>
      </c>
      <c r="UQ46" s="182" t="s">
        <v>564</v>
      </c>
      <c r="UR46" s="182" t="s">
        <v>686</v>
      </c>
      <c r="US46" s="182" t="s">
        <v>583</v>
      </c>
      <c r="UT46" s="182" t="s">
        <v>561</v>
      </c>
      <c r="UU46" s="182" t="s">
        <v>561</v>
      </c>
      <c r="UV46" s="182" t="s">
        <v>687</v>
      </c>
      <c r="UW46" s="182" t="s">
        <v>542</v>
      </c>
      <c r="UX46" s="182" t="s">
        <v>542</v>
      </c>
      <c r="UY46" s="182" t="s">
        <v>542</v>
      </c>
      <c r="UZ46" s="182" t="s">
        <v>542</v>
      </c>
      <c r="VA46" s="182" t="s">
        <v>542</v>
      </c>
      <c r="VB46" s="182" t="s">
        <v>542</v>
      </c>
      <c r="VC46" s="182" t="s">
        <v>688</v>
      </c>
      <c r="VD46" s="182" t="s">
        <v>688</v>
      </c>
      <c r="VE46" s="182" t="s">
        <v>541</v>
      </c>
      <c r="VF46" s="182" t="s">
        <v>541</v>
      </c>
      <c r="VG46" s="182" t="s">
        <v>690</v>
      </c>
      <c r="VH46" s="182" t="s">
        <v>629</v>
      </c>
      <c r="VI46" s="182" t="s">
        <v>689</v>
      </c>
      <c r="VJ46" s="182" t="s">
        <v>656</v>
      </c>
      <c r="VK46" s="182" t="s">
        <v>656</v>
      </c>
      <c r="VL46" s="182" t="s">
        <v>672</v>
      </c>
      <c r="VM46" s="182" t="s">
        <v>690</v>
      </c>
      <c r="VN46" s="182" t="s">
        <v>690</v>
      </c>
      <c r="VO46" s="182" t="s">
        <v>689</v>
      </c>
      <c r="VP46" s="182" t="s">
        <v>602</v>
      </c>
      <c r="VQ46" s="182" t="s">
        <v>602</v>
      </c>
      <c r="VR46" s="182" t="s">
        <v>647</v>
      </c>
      <c r="VS46" s="182" t="s">
        <v>534</v>
      </c>
      <c r="VT46" s="182" t="s">
        <v>670</v>
      </c>
      <c r="VU46" s="182" t="s">
        <v>670</v>
      </c>
      <c r="VV46" s="182" t="s">
        <v>670</v>
      </c>
      <c r="VW46" s="182" t="s">
        <v>670</v>
      </c>
      <c r="VX46" s="182" t="s">
        <v>670</v>
      </c>
      <c r="VY46" s="182" t="s">
        <v>670</v>
      </c>
      <c r="VZ46" s="182" t="s">
        <v>517</v>
      </c>
      <c r="WA46" s="182" t="s">
        <v>517</v>
      </c>
      <c r="WB46" s="182" t="s">
        <v>607</v>
      </c>
      <c r="WC46" s="182" t="s">
        <v>691</v>
      </c>
      <c r="WD46" s="182" t="s">
        <v>691</v>
      </c>
      <c r="WE46" s="182" t="s">
        <v>534</v>
      </c>
      <c r="WF46" s="182" t="s">
        <v>534</v>
      </c>
      <c r="WG46" s="182" t="s">
        <v>661</v>
      </c>
      <c r="WH46" s="182" t="s">
        <v>661</v>
      </c>
      <c r="WI46" s="182" t="s">
        <v>661</v>
      </c>
      <c r="WJ46" s="182" t="s">
        <v>662</v>
      </c>
      <c r="WK46" s="182" t="s">
        <v>607</v>
      </c>
      <c r="WL46" s="182" t="s">
        <v>607</v>
      </c>
      <c r="WM46" s="182" t="s">
        <v>607</v>
      </c>
      <c r="WN46" s="182" t="s">
        <v>607</v>
      </c>
      <c r="WO46" s="182" t="s">
        <v>607</v>
      </c>
      <c r="WP46" s="182" t="s">
        <v>607</v>
      </c>
      <c r="WQ46" s="182" t="s">
        <v>607</v>
      </c>
      <c r="WR46" s="182" t="s">
        <v>607</v>
      </c>
      <c r="WS46" s="182" t="s">
        <v>607</v>
      </c>
      <c r="WT46" s="182" t="s">
        <v>607</v>
      </c>
      <c r="WU46" s="182" t="s">
        <v>534</v>
      </c>
      <c r="WV46" s="182" t="s">
        <v>534</v>
      </c>
      <c r="WW46" s="182" t="s">
        <v>596</v>
      </c>
      <c r="WX46" s="182" t="s">
        <v>650</v>
      </c>
      <c r="WY46" s="182" t="s">
        <v>526</v>
      </c>
      <c r="WZ46" s="182" t="s">
        <v>517</v>
      </c>
      <c r="XA46" s="182" t="s">
        <v>517</v>
      </c>
      <c r="XB46" s="182" t="s">
        <v>532</v>
      </c>
      <c r="XC46" s="182" t="s">
        <v>532</v>
      </c>
      <c r="XD46" s="182" t="s">
        <v>532</v>
      </c>
      <c r="XE46" s="182" t="s">
        <v>532</v>
      </c>
      <c r="XF46" s="182" t="s">
        <v>532</v>
      </c>
      <c r="XG46" s="182" t="s">
        <v>532</v>
      </c>
      <c r="XH46" s="182" t="s">
        <v>532</v>
      </c>
      <c r="XI46" s="182" t="s">
        <v>532</v>
      </c>
      <c r="XJ46" s="182" t="s">
        <v>679</v>
      </c>
      <c r="XK46" s="182" t="s">
        <v>633</v>
      </c>
      <c r="XL46" s="182" t="s">
        <v>633</v>
      </c>
      <c r="XM46" s="182" t="s">
        <v>580</v>
      </c>
      <c r="XN46" s="182" t="s">
        <v>580</v>
      </c>
      <c r="XO46" s="182" t="s">
        <v>580</v>
      </c>
      <c r="XP46" s="182" t="s">
        <v>692</v>
      </c>
      <c r="XQ46" s="182" t="s">
        <v>692</v>
      </c>
      <c r="XR46" s="182" t="s">
        <v>692</v>
      </c>
      <c r="XS46" s="182" t="s">
        <v>692</v>
      </c>
      <c r="XT46" s="182" t="s">
        <v>526</v>
      </c>
      <c r="XU46" s="182" t="s">
        <v>610</v>
      </c>
      <c r="XV46" s="182" t="s">
        <v>610</v>
      </c>
      <c r="XW46" s="182" t="s">
        <v>610</v>
      </c>
      <c r="XX46" s="182" t="s">
        <v>610</v>
      </c>
      <c r="XY46" s="182" t="s">
        <v>610</v>
      </c>
      <c r="XZ46" s="182" t="s">
        <v>610</v>
      </c>
      <c r="YA46" s="182" t="s">
        <v>610</v>
      </c>
      <c r="YB46" s="182" t="s">
        <v>610</v>
      </c>
      <c r="YC46" s="182" t="s">
        <v>517</v>
      </c>
      <c r="YD46" s="182" t="s">
        <v>679</v>
      </c>
      <c r="YE46" s="182" t="s">
        <v>679</v>
      </c>
      <c r="YF46" s="182" t="s">
        <v>635</v>
      </c>
      <c r="YG46" s="182" t="s">
        <v>635</v>
      </c>
      <c r="YH46" s="182" t="s">
        <v>651</v>
      </c>
      <c r="YI46" s="182" t="s">
        <v>584</v>
      </c>
      <c r="YJ46" s="182" t="s">
        <v>693</v>
      </c>
      <c r="YK46" s="182" t="s">
        <v>517</v>
      </c>
      <c r="YL46" s="182" t="s">
        <v>517</v>
      </c>
      <c r="YM46" s="182" t="s">
        <v>517</v>
      </c>
      <c r="YN46" s="182" t="s">
        <v>584</v>
      </c>
      <c r="YO46" s="182" t="s">
        <v>526</v>
      </c>
      <c r="YP46" s="182" t="s">
        <v>682</v>
      </c>
      <c r="YQ46" s="182" t="s">
        <v>566</v>
      </c>
      <c r="YR46" s="182" t="s">
        <v>566</v>
      </c>
      <c r="YS46" s="182" t="s">
        <v>566</v>
      </c>
      <c r="YT46" s="182" t="s">
        <v>588</v>
      </c>
      <c r="YU46" s="182" t="s">
        <v>588</v>
      </c>
      <c r="YV46" s="182" t="s">
        <v>588</v>
      </c>
      <c r="YW46" s="182" t="s">
        <v>588</v>
      </c>
      <c r="YX46" s="182" t="s">
        <v>588</v>
      </c>
      <c r="YY46" s="182" t="s">
        <v>588</v>
      </c>
      <c r="YZ46" s="182" t="s">
        <v>641</v>
      </c>
      <c r="ZA46" s="182" t="s">
        <v>709</v>
      </c>
      <c r="ZB46" s="182" t="s">
        <v>654</v>
      </c>
      <c r="ZC46" s="182" t="s">
        <v>654</v>
      </c>
      <c r="ZL46" s="182" t="str">
        <f t="shared" si="1"/>
        <v>BRUXELLES -VARSOVIE</v>
      </c>
      <c r="ZM46" s="183" t="s">
        <v>537</v>
      </c>
      <c r="ZN46" s="182" t="s">
        <v>538</v>
      </c>
      <c r="ZO46" s="182">
        <v>1159</v>
      </c>
      <c r="ZP46" s="198">
        <v>299.02199999999999</v>
      </c>
      <c r="ZQ46" s="193"/>
      <c r="ZR46" s="193"/>
      <c r="ZS46" s="193"/>
      <c r="ZT46" s="193"/>
    </row>
    <row r="47" spans="1:696" s="192" customFormat="1" ht="28.8">
      <c r="A47" s="319">
        <f>AVERAGE(F47:ZC47)</f>
        <v>2566.6810089020773</v>
      </c>
      <c r="B47" s="175">
        <f>COUNT(F47:ZC47)</f>
        <v>674</v>
      </c>
      <c r="C47" s="318">
        <f>F49/B47</f>
        <v>0.60608427893175121</v>
      </c>
      <c r="D47" s="735"/>
      <c r="E47" s="189" t="s">
        <v>322</v>
      </c>
      <c r="F47" s="182">
        <v>185</v>
      </c>
      <c r="G47" s="182">
        <v>185</v>
      </c>
      <c r="H47" s="182">
        <v>185</v>
      </c>
      <c r="I47" s="182">
        <v>188</v>
      </c>
      <c r="J47" s="182">
        <v>188</v>
      </c>
      <c r="K47" s="182">
        <v>188</v>
      </c>
      <c r="L47" s="182">
        <v>188</v>
      </c>
      <c r="M47" s="182">
        <v>221</v>
      </c>
      <c r="N47" s="182">
        <v>268</v>
      </c>
      <c r="O47" s="182">
        <v>268</v>
      </c>
      <c r="P47" s="182">
        <v>276</v>
      </c>
      <c r="Q47" s="182">
        <v>298</v>
      </c>
      <c r="R47" s="182">
        <v>298</v>
      </c>
      <c r="S47" s="182">
        <v>298</v>
      </c>
      <c r="T47" s="182">
        <v>298</v>
      </c>
      <c r="U47" s="182">
        <v>298</v>
      </c>
      <c r="V47" s="182">
        <v>298</v>
      </c>
      <c r="W47" s="182">
        <v>298</v>
      </c>
      <c r="X47" s="182">
        <v>298</v>
      </c>
      <c r="Y47" s="182">
        <v>298</v>
      </c>
      <c r="Z47" s="182">
        <v>298</v>
      </c>
      <c r="AA47" s="182">
        <v>298</v>
      </c>
      <c r="AB47" s="182">
        <v>312</v>
      </c>
      <c r="AC47" s="182">
        <v>335</v>
      </c>
      <c r="AD47" s="182">
        <v>338</v>
      </c>
      <c r="AE47" s="182">
        <v>339</v>
      </c>
      <c r="AF47" s="182">
        <v>340</v>
      </c>
      <c r="AG47" s="182">
        <v>340</v>
      </c>
      <c r="AH47" s="182">
        <v>348</v>
      </c>
      <c r="AI47" s="182">
        <v>357</v>
      </c>
      <c r="AJ47" s="182">
        <v>357</v>
      </c>
      <c r="AK47" s="182">
        <v>357</v>
      </c>
      <c r="AL47" s="182">
        <v>357</v>
      </c>
      <c r="AM47" s="182">
        <v>357</v>
      </c>
      <c r="AN47" s="182">
        <v>357</v>
      </c>
      <c r="AO47" s="182">
        <v>357</v>
      </c>
      <c r="AP47" s="182">
        <v>358</v>
      </c>
      <c r="AQ47" s="182">
        <v>358</v>
      </c>
      <c r="AR47" s="182">
        <v>359</v>
      </c>
      <c r="AS47" s="182">
        <v>359</v>
      </c>
      <c r="AT47" s="182">
        <v>359</v>
      </c>
      <c r="AU47" s="182">
        <v>359</v>
      </c>
      <c r="AV47" s="182">
        <v>359</v>
      </c>
      <c r="AW47" s="182">
        <v>359</v>
      </c>
      <c r="AX47" s="182">
        <v>359</v>
      </c>
      <c r="AY47" s="182">
        <v>359</v>
      </c>
      <c r="AZ47" s="182">
        <v>359</v>
      </c>
      <c r="BA47" s="182">
        <v>359</v>
      </c>
      <c r="BB47" s="182">
        <v>359</v>
      </c>
      <c r="BC47" s="182">
        <v>359</v>
      </c>
      <c r="BD47" s="182">
        <v>359</v>
      </c>
      <c r="BE47" s="182">
        <v>359</v>
      </c>
      <c r="BF47" s="182">
        <v>359</v>
      </c>
      <c r="BG47" s="182">
        <v>359</v>
      </c>
      <c r="BH47" s="182">
        <v>359</v>
      </c>
      <c r="BI47" s="182">
        <v>359</v>
      </c>
      <c r="BJ47" s="182">
        <v>359</v>
      </c>
      <c r="BK47" s="182">
        <v>359</v>
      </c>
      <c r="BL47" s="182">
        <v>359</v>
      </c>
      <c r="BM47" s="182">
        <v>359</v>
      </c>
      <c r="BN47" s="182">
        <v>359</v>
      </c>
      <c r="BO47" s="182">
        <v>359</v>
      </c>
      <c r="BP47" s="182">
        <v>359</v>
      </c>
      <c r="BQ47" s="182">
        <v>359</v>
      </c>
      <c r="BR47" s="182">
        <v>359</v>
      </c>
      <c r="BS47" s="182">
        <v>359</v>
      </c>
      <c r="BT47" s="182">
        <v>359</v>
      </c>
      <c r="BU47" s="182">
        <v>359</v>
      </c>
      <c r="BV47" s="182">
        <v>359</v>
      </c>
      <c r="BW47" s="182">
        <v>359</v>
      </c>
      <c r="BX47" s="182">
        <v>359</v>
      </c>
      <c r="BY47" s="182">
        <v>359</v>
      </c>
      <c r="BZ47" s="182">
        <v>359</v>
      </c>
      <c r="CA47" s="182">
        <v>359</v>
      </c>
      <c r="CB47" s="182">
        <v>359</v>
      </c>
      <c r="CC47" s="182">
        <v>359</v>
      </c>
      <c r="CD47" s="182">
        <v>359</v>
      </c>
      <c r="CE47" s="182">
        <v>359</v>
      </c>
      <c r="CF47" s="182">
        <v>359</v>
      </c>
      <c r="CG47" s="182">
        <v>359</v>
      </c>
      <c r="CH47" s="182">
        <v>359</v>
      </c>
      <c r="CI47" s="182">
        <v>359</v>
      </c>
      <c r="CJ47" s="182">
        <v>359</v>
      </c>
      <c r="CK47" s="182">
        <v>359</v>
      </c>
      <c r="CL47" s="182">
        <v>359</v>
      </c>
      <c r="CM47" s="182">
        <v>359</v>
      </c>
      <c r="CN47" s="182">
        <v>359</v>
      </c>
      <c r="CO47" s="182">
        <v>359</v>
      </c>
      <c r="CP47" s="182">
        <v>359</v>
      </c>
      <c r="CQ47" s="182">
        <v>359</v>
      </c>
      <c r="CR47" s="182">
        <v>359</v>
      </c>
      <c r="CS47" s="182">
        <v>359</v>
      </c>
      <c r="CT47" s="182">
        <v>359</v>
      </c>
      <c r="CU47" s="182">
        <v>359</v>
      </c>
      <c r="CV47" s="182">
        <v>359</v>
      </c>
      <c r="CW47" s="182">
        <v>359</v>
      </c>
      <c r="CX47" s="182">
        <v>359</v>
      </c>
      <c r="CY47" s="182">
        <v>374</v>
      </c>
      <c r="CZ47" s="182">
        <v>374</v>
      </c>
      <c r="DA47" s="182">
        <v>384</v>
      </c>
      <c r="DB47" s="182">
        <v>384</v>
      </c>
      <c r="DC47" s="182">
        <v>384</v>
      </c>
      <c r="DD47" s="182">
        <v>392</v>
      </c>
      <c r="DE47" s="182">
        <v>392</v>
      </c>
      <c r="DF47" s="182">
        <v>392</v>
      </c>
      <c r="DG47" s="182">
        <v>392</v>
      </c>
      <c r="DH47" s="182">
        <v>435</v>
      </c>
      <c r="DI47" s="182">
        <v>435</v>
      </c>
      <c r="DJ47" s="182">
        <v>435</v>
      </c>
      <c r="DK47" s="182">
        <v>435</v>
      </c>
      <c r="DL47" s="182">
        <v>435</v>
      </c>
      <c r="DM47" s="182">
        <v>469</v>
      </c>
      <c r="DN47" s="182">
        <v>469</v>
      </c>
      <c r="DO47" s="182">
        <v>469</v>
      </c>
      <c r="DP47" s="182">
        <v>469</v>
      </c>
      <c r="DQ47" s="182">
        <v>469</v>
      </c>
      <c r="DR47" s="182">
        <v>469</v>
      </c>
      <c r="DS47" s="182">
        <v>501</v>
      </c>
      <c r="DT47" s="182">
        <v>515</v>
      </c>
      <c r="DU47" s="182">
        <v>515</v>
      </c>
      <c r="DV47" s="182">
        <v>515</v>
      </c>
      <c r="DW47" s="182">
        <v>515</v>
      </c>
      <c r="DX47" s="182">
        <v>515</v>
      </c>
      <c r="DY47" s="182">
        <v>515</v>
      </c>
      <c r="DZ47" s="182">
        <v>515</v>
      </c>
      <c r="EA47" s="182">
        <v>515</v>
      </c>
      <c r="EB47" s="182">
        <v>515</v>
      </c>
      <c r="EC47" s="182">
        <v>515</v>
      </c>
      <c r="ED47" s="182">
        <v>515</v>
      </c>
      <c r="EE47" s="182">
        <v>515</v>
      </c>
      <c r="EF47" s="182">
        <v>529</v>
      </c>
      <c r="EG47" s="182">
        <v>531</v>
      </c>
      <c r="EH47" s="182">
        <v>531</v>
      </c>
      <c r="EI47" s="182">
        <v>531</v>
      </c>
      <c r="EJ47" s="182">
        <v>542</v>
      </c>
      <c r="EK47" s="182">
        <v>550</v>
      </c>
      <c r="EL47" s="182">
        <v>550</v>
      </c>
      <c r="EM47" s="182">
        <v>550</v>
      </c>
      <c r="EN47" s="182">
        <v>550</v>
      </c>
      <c r="EO47" s="182">
        <v>550</v>
      </c>
      <c r="EP47" s="182">
        <v>550</v>
      </c>
      <c r="EQ47" s="182">
        <v>550</v>
      </c>
      <c r="ER47" s="182">
        <v>557</v>
      </c>
      <c r="ES47" s="182">
        <v>557</v>
      </c>
      <c r="ET47" s="182">
        <v>557</v>
      </c>
      <c r="EU47" s="182">
        <v>557</v>
      </c>
      <c r="EV47" s="182">
        <v>559</v>
      </c>
      <c r="EW47" s="182">
        <v>559</v>
      </c>
      <c r="EX47" s="182">
        <v>559</v>
      </c>
      <c r="EY47" s="182">
        <v>560</v>
      </c>
      <c r="EZ47" s="182">
        <v>560</v>
      </c>
      <c r="FA47" s="182">
        <v>562</v>
      </c>
      <c r="FB47" s="182">
        <v>562</v>
      </c>
      <c r="FC47" s="182">
        <v>563</v>
      </c>
      <c r="FD47" s="182">
        <v>563</v>
      </c>
      <c r="FE47" s="182">
        <v>565</v>
      </c>
      <c r="FF47" s="182">
        <v>565</v>
      </c>
      <c r="FG47" s="182">
        <v>565</v>
      </c>
      <c r="FH47" s="182">
        <v>565</v>
      </c>
      <c r="FI47" s="182">
        <v>565</v>
      </c>
      <c r="FJ47" s="182">
        <v>565</v>
      </c>
      <c r="FK47" s="182">
        <v>565</v>
      </c>
      <c r="FL47" s="182">
        <v>565</v>
      </c>
      <c r="FM47" s="182">
        <v>565</v>
      </c>
      <c r="FN47" s="182">
        <v>565</v>
      </c>
      <c r="FO47" s="182">
        <v>565</v>
      </c>
      <c r="FP47" s="182">
        <v>565</v>
      </c>
      <c r="FQ47" s="182">
        <v>565</v>
      </c>
      <c r="FR47" s="182">
        <v>565</v>
      </c>
      <c r="FS47" s="182">
        <v>565</v>
      </c>
      <c r="FT47" s="182">
        <v>565</v>
      </c>
      <c r="FU47" s="182">
        <v>565</v>
      </c>
      <c r="FV47" s="182">
        <v>565</v>
      </c>
      <c r="FW47" s="182">
        <v>565</v>
      </c>
      <c r="FX47" s="182">
        <v>565</v>
      </c>
      <c r="FY47" s="182">
        <v>565</v>
      </c>
      <c r="FZ47" s="182">
        <v>566</v>
      </c>
      <c r="GA47" s="182">
        <v>566</v>
      </c>
      <c r="GB47" s="182">
        <v>566</v>
      </c>
      <c r="GC47" s="182">
        <v>575</v>
      </c>
      <c r="GD47" s="182">
        <v>575</v>
      </c>
      <c r="GE47" s="182">
        <v>575</v>
      </c>
      <c r="GF47" s="182">
        <v>575</v>
      </c>
      <c r="GG47" s="182">
        <v>575</v>
      </c>
      <c r="GH47" s="182">
        <v>575</v>
      </c>
      <c r="GI47" s="182">
        <v>575</v>
      </c>
      <c r="GJ47" s="182">
        <v>575</v>
      </c>
      <c r="GK47" s="182">
        <v>575</v>
      </c>
      <c r="GL47" s="182">
        <v>575</v>
      </c>
      <c r="GM47" s="182">
        <v>575</v>
      </c>
      <c r="GN47" s="182">
        <v>575</v>
      </c>
      <c r="GO47" s="182">
        <v>575</v>
      </c>
      <c r="GP47" s="182">
        <v>575</v>
      </c>
      <c r="GQ47" s="182">
        <v>576</v>
      </c>
      <c r="GR47" s="182">
        <v>588</v>
      </c>
      <c r="GS47" s="182">
        <v>588</v>
      </c>
      <c r="GT47" s="182">
        <v>595</v>
      </c>
      <c r="GU47" s="182">
        <v>595</v>
      </c>
      <c r="GV47" s="182">
        <v>597</v>
      </c>
      <c r="GW47" s="182">
        <v>612</v>
      </c>
      <c r="GX47" s="182">
        <v>612</v>
      </c>
      <c r="GY47" s="182">
        <v>612</v>
      </c>
      <c r="GZ47" s="182">
        <v>612</v>
      </c>
      <c r="HA47" s="182">
        <v>612</v>
      </c>
      <c r="HB47" s="182">
        <v>622</v>
      </c>
      <c r="HC47" s="182">
        <v>622</v>
      </c>
      <c r="HD47" s="182">
        <v>624</v>
      </c>
      <c r="HE47" s="182">
        <v>625</v>
      </c>
      <c r="HF47" s="182">
        <v>640</v>
      </c>
      <c r="HG47" s="182">
        <v>647</v>
      </c>
      <c r="HH47" s="182">
        <v>660</v>
      </c>
      <c r="HI47" s="182">
        <v>662</v>
      </c>
      <c r="HJ47" s="182">
        <v>662</v>
      </c>
      <c r="HK47" s="182">
        <v>663</v>
      </c>
      <c r="HL47" s="182">
        <v>663</v>
      </c>
      <c r="HM47" s="182">
        <v>686</v>
      </c>
      <c r="HN47" s="182">
        <v>686</v>
      </c>
      <c r="HO47" s="182">
        <v>686</v>
      </c>
      <c r="HP47" s="182">
        <v>711</v>
      </c>
      <c r="HQ47" s="182">
        <v>716</v>
      </c>
      <c r="HR47" s="182">
        <v>735</v>
      </c>
      <c r="HS47" s="182">
        <v>735</v>
      </c>
      <c r="HT47" s="182">
        <v>735</v>
      </c>
      <c r="HU47" s="182">
        <v>735</v>
      </c>
      <c r="HV47" s="182">
        <v>735</v>
      </c>
      <c r="HW47" s="182">
        <v>735</v>
      </c>
      <c r="HX47" s="182">
        <v>735</v>
      </c>
      <c r="HY47" s="182">
        <v>735</v>
      </c>
      <c r="HZ47" s="182">
        <v>735</v>
      </c>
      <c r="IA47" s="182">
        <v>735</v>
      </c>
      <c r="IB47" s="182">
        <v>735</v>
      </c>
      <c r="IC47" s="182">
        <v>735</v>
      </c>
      <c r="ID47" s="182">
        <v>735</v>
      </c>
      <c r="IE47" s="182">
        <v>735</v>
      </c>
      <c r="IF47" s="182">
        <v>735</v>
      </c>
      <c r="IG47" s="182">
        <v>735</v>
      </c>
      <c r="IH47" s="182">
        <v>735</v>
      </c>
      <c r="II47" s="182">
        <v>735</v>
      </c>
      <c r="IJ47" s="182">
        <v>735</v>
      </c>
      <c r="IK47" s="182">
        <v>735</v>
      </c>
      <c r="IL47" s="182">
        <v>735</v>
      </c>
      <c r="IM47" s="182">
        <v>735</v>
      </c>
      <c r="IN47" s="182">
        <v>735</v>
      </c>
      <c r="IO47" s="182">
        <v>748</v>
      </c>
      <c r="IP47" s="182">
        <v>750</v>
      </c>
      <c r="IQ47" s="182">
        <v>750</v>
      </c>
      <c r="IR47" s="182">
        <v>750</v>
      </c>
      <c r="IS47" s="182">
        <v>779</v>
      </c>
      <c r="IT47" s="182">
        <v>779</v>
      </c>
      <c r="IU47" s="182">
        <v>791</v>
      </c>
      <c r="IV47" s="182">
        <v>791</v>
      </c>
      <c r="IW47" s="182">
        <v>791</v>
      </c>
      <c r="IX47" s="182">
        <v>791</v>
      </c>
      <c r="IY47" s="182">
        <v>817</v>
      </c>
      <c r="IZ47" s="182">
        <v>817</v>
      </c>
      <c r="JA47" s="182">
        <v>817</v>
      </c>
      <c r="JB47" s="182">
        <v>817</v>
      </c>
      <c r="JC47" s="182">
        <v>817</v>
      </c>
      <c r="JD47" s="182">
        <v>818</v>
      </c>
      <c r="JE47" s="182">
        <v>826</v>
      </c>
      <c r="JF47" s="182">
        <v>827</v>
      </c>
      <c r="JG47" s="182">
        <v>842</v>
      </c>
      <c r="JH47" s="182">
        <v>842</v>
      </c>
      <c r="JI47" s="182">
        <v>855</v>
      </c>
      <c r="JJ47" s="182">
        <v>855</v>
      </c>
      <c r="JK47" s="182">
        <v>855</v>
      </c>
      <c r="JL47" s="182">
        <v>855</v>
      </c>
      <c r="JM47" s="182">
        <v>860</v>
      </c>
      <c r="JN47" s="182">
        <v>860</v>
      </c>
      <c r="JO47" s="182">
        <v>860</v>
      </c>
      <c r="JP47" s="182">
        <v>860</v>
      </c>
      <c r="JQ47" s="182">
        <v>860</v>
      </c>
      <c r="JR47" s="182">
        <v>860</v>
      </c>
      <c r="JS47" s="182">
        <v>865</v>
      </c>
      <c r="JT47" s="182">
        <v>881</v>
      </c>
      <c r="JU47" s="182">
        <v>892</v>
      </c>
      <c r="JV47" s="182">
        <v>892</v>
      </c>
      <c r="JW47" s="182">
        <v>892</v>
      </c>
      <c r="JX47" s="182">
        <v>892</v>
      </c>
      <c r="JY47" s="182">
        <v>892</v>
      </c>
      <c r="JZ47" s="182">
        <v>892</v>
      </c>
      <c r="KA47" s="182">
        <v>892</v>
      </c>
      <c r="KB47" s="182">
        <v>895</v>
      </c>
      <c r="KC47" s="182">
        <v>897</v>
      </c>
      <c r="KD47" s="182">
        <v>912</v>
      </c>
      <c r="KE47" s="182">
        <v>912</v>
      </c>
      <c r="KF47" s="182">
        <v>912</v>
      </c>
      <c r="KG47" s="182">
        <v>912</v>
      </c>
      <c r="KH47" s="182">
        <v>912</v>
      </c>
      <c r="KI47" s="182">
        <v>912</v>
      </c>
      <c r="KJ47" s="182">
        <v>912</v>
      </c>
      <c r="KK47" s="182">
        <v>912</v>
      </c>
      <c r="KL47" s="182">
        <v>912</v>
      </c>
      <c r="KM47" s="182">
        <v>912</v>
      </c>
      <c r="KN47" s="182">
        <v>912</v>
      </c>
      <c r="KO47" s="182">
        <v>912</v>
      </c>
      <c r="KP47" s="182">
        <v>912</v>
      </c>
      <c r="KQ47" s="182">
        <v>912</v>
      </c>
      <c r="KR47" s="182">
        <v>912</v>
      </c>
      <c r="KS47" s="182">
        <v>916</v>
      </c>
      <c r="KT47" s="182">
        <v>916</v>
      </c>
      <c r="KU47" s="182">
        <v>916</v>
      </c>
      <c r="KV47" s="182">
        <v>931</v>
      </c>
      <c r="KW47" s="182">
        <v>937</v>
      </c>
      <c r="KX47" s="182">
        <v>937</v>
      </c>
      <c r="KY47" s="182">
        <v>947</v>
      </c>
      <c r="KZ47" s="182">
        <v>947</v>
      </c>
      <c r="LA47" s="182">
        <v>955</v>
      </c>
      <c r="LB47" s="182">
        <v>976</v>
      </c>
      <c r="LC47" s="182">
        <v>976</v>
      </c>
      <c r="LD47" s="182">
        <v>976</v>
      </c>
      <c r="LE47" s="182">
        <v>976</v>
      </c>
      <c r="LF47" s="182">
        <v>976</v>
      </c>
      <c r="LG47" s="182">
        <v>976</v>
      </c>
      <c r="LH47" s="182">
        <v>976</v>
      </c>
      <c r="LI47" s="182">
        <v>976</v>
      </c>
      <c r="LJ47" s="182">
        <v>976</v>
      </c>
      <c r="LK47" s="182">
        <v>976</v>
      </c>
      <c r="LL47" s="182">
        <v>976</v>
      </c>
      <c r="LM47" s="182">
        <v>976</v>
      </c>
      <c r="LN47" s="182">
        <v>976</v>
      </c>
      <c r="LO47" s="182">
        <v>976</v>
      </c>
      <c r="LP47" s="182">
        <v>976</v>
      </c>
      <c r="LQ47" s="182">
        <v>976</v>
      </c>
      <c r="LR47" s="182">
        <v>976</v>
      </c>
      <c r="LS47" s="182">
        <v>1014</v>
      </c>
      <c r="LT47" s="182">
        <v>1014</v>
      </c>
      <c r="LU47" s="182">
        <v>1039</v>
      </c>
      <c r="LV47" s="182">
        <v>1039</v>
      </c>
      <c r="LW47" s="182">
        <v>1039</v>
      </c>
      <c r="LX47" s="182">
        <v>1039</v>
      </c>
      <c r="LY47" s="182">
        <v>1055</v>
      </c>
      <c r="LZ47" s="182">
        <v>1063</v>
      </c>
      <c r="MA47" s="182">
        <v>1063</v>
      </c>
      <c r="MB47" s="182">
        <v>1068</v>
      </c>
      <c r="MC47" s="182">
        <v>1068</v>
      </c>
      <c r="MD47" s="182">
        <v>1068</v>
      </c>
      <c r="ME47" s="182">
        <v>1068</v>
      </c>
      <c r="MF47" s="182">
        <v>1068</v>
      </c>
      <c r="MG47" s="182">
        <v>1077</v>
      </c>
      <c r="MH47" s="182">
        <v>1077</v>
      </c>
      <c r="MI47" s="182">
        <v>1077</v>
      </c>
      <c r="MJ47" s="182">
        <v>1077</v>
      </c>
      <c r="MK47" s="182">
        <v>1077</v>
      </c>
      <c r="ML47" s="182">
        <v>1100</v>
      </c>
      <c r="MM47" s="182">
        <v>1100</v>
      </c>
      <c r="MN47" s="182">
        <v>1100</v>
      </c>
      <c r="MO47" s="182">
        <v>1100</v>
      </c>
      <c r="MP47" s="182">
        <v>1100</v>
      </c>
      <c r="MQ47" s="182">
        <v>1100</v>
      </c>
      <c r="MR47" s="182">
        <v>1100</v>
      </c>
      <c r="MS47" s="182">
        <v>1100</v>
      </c>
      <c r="MT47" s="182">
        <v>1100</v>
      </c>
      <c r="MU47" s="182">
        <v>1107</v>
      </c>
      <c r="MV47" s="182">
        <v>1110</v>
      </c>
      <c r="MW47" s="182">
        <v>1155</v>
      </c>
      <c r="MX47" s="182">
        <v>1159</v>
      </c>
      <c r="MY47" s="182">
        <v>1160</v>
      </c>
      <c r="MZ47" s="182">
        <v>1160</v>
      </c>
      <c r="NA47" s="182">
        <v>1160</v>
      </c>
      <c r="NB47" s="182">
        <v>1160</v>
      </c>
      <c r="NC47" s="182">
        <v>1160</v>
      </c>
      <c r="ND47" s="182">
        <v>1160</v>
      </c>
      <c r="NE47" s="182">
        <v>1160</v>
      </c>
      <c r="NF47" s="182">
        <v>1160</v>
      </c>
      <c r="NG47" s="182">
        <v>1160</v>
      </c>
      <c r="NH47" s="182">
        <v>1160</v>
      </c>
      <c r="NI47" s="182">
        <v>1160</v>
      </c>
      <c r="NJ47" s="182">
        <v>1160</v>
      </c>
      <c r="NK47" s="182">
        <v>1160</v>
      </c>
      <c r="NL47" s="182">
        <v>1160</v>
      </c>
      <c r="NM47" s="182">
        <v>1160</v>
      </c>
      <c r="NN47" s="182">
        <v>1171</v>
      </c>
      <c r="NO47" s="182">
        <v>1194</v>
      </c>
      <c r="NP47" s="182">
        <v>1194</v>
      </c>
      <c r="NQ47" s="182">
        <v>1194</v>
      </c>
      <c r="NR47" s="182">
        <v>1194</v>
      </c>
      <c r="NS47" s="182">
        <v>1194</v>
      </c>
      <c r="NT47" s="182">
        <v>1194</v>
      </c>
      <c r="NU47" s="182">
        <v>1194</v>
      </c>
      <c r="NV47" s="182">
        <v>1194</v>
      </c>
      <c r="NW47" s="182">
        <v>1194</v>
      </c>
      <c r="NX47" s="182">
        <v>1194</v>
      </c>
      <c r="NY47" s="182">
        <v>1198</v>
      </c>
      <c r="NZ47" s="182">
        <v>1198</v>
      </c>
      <c r="OA47" s="182">
        <v>1198</v>
      </c>
      <c r="OB47" s="182">
        <v>1198</v>
      </c>
      <c r="OC47" s="182">
        <v>1200</v>
      </c>
      <c r="OD47" s="182">
        <v>1208</v>
      </c>
      <c r="OE47" s="182">
        <v>1211</v>
      </c>
      <c r="OF47" s="182">
        <v>1211</v>
      </c>
      <c r="OG47" s="182">
        <v>1217</v>
      </c>
      <c r="OH47" s="182">
        <v>1218</v>
      </c>
      <c r="OI47" s="182">
        <v>1222</v>
      </c>
      <c r="OJ47" s="182">
        <v>1222</v>
      </c>
      <c r="OK47" s="182">
        <v>1222</v>
      </c>
      <c r="OL47" s="182">
        <v>1222</v>
      </c>
      <c r="OM47" s="182">
        <v>1222</v>
      </c>
      <c r="ON47" s="182">
        <v>1248</v>
      </c>
      <c r="OO47" s="182">
        <v>1250</v>
      </c>
      <c r="OP47" s="182">
        <v>1250</v>
      </c>
      <c r="OQ47" s="182">
        <v>1266</v>
      </c>
      <c r="OR47" s="182">
        <v>1266</v>
      </c>
      <c r="OS47" s="182">
        <v>1277</v>
      </c>
      <c r="OT47" s="182">
        <v>1277</v>
      </c>
      <c r="OU47" s="182">
        <v>1292</v>
      </c>
      <c r="OV47" s="182">
        <v>1293</v>
      </c>
      <c r="OW47" s="182">
        <v>1293</v>
      </c>
      <c r="OX47" s="182">
        <v>1293</v>
      </c>
      <c r="OY47" s="182">
        <v>1293</v>
      </c>
      <c r="OZ47" s="182">
        <v>1293</v>
      </c>
      <c r="PA47" s="182">
        <v>1293</v>
      </c>
      <c r="PB47" s="182">
        <v>1293</v>
      </c>
      <c r="PC47" s="182">
        <v>1362</v>
      </c>
      <c r="PD47" s="182">
        <v>1362</v>
      </c>
      <c r="PE47" s="182">
        <v>1362</v>
      </c>
      <c r="PF47" s="182">
        <v>1362</v>
      </c>
      <c r="PG47" s="182">
        <v>1362</v>
      </c>
      <c r="PH47" s="182">
        <v>1362</v>
      </c>
      <c r="PI47" s="182">
        <v>1388</v>
      </c>
      <c r="PJ47" s="182">
        <v>1388</v>
      </c>
      <c r="PK47" s="182">
        <v>1388</v>
      </c>
      <c r="PL47" s="182">
        <v>1388</v>
      </c>
      <c r="PM47" s="182">
        <v>1390</v>
      </c>
      <c r="PN47" s="182">
        <v>1390</v>
      </c>
      <c r="PO47" s="182">
        <v>1390</v>
      </c>
      <c r="PP47" s="182">
        <v>1390</v>
      </c>
      <c r="PQ47" s="182">
        <v>1415</v>
      </c>
      <c r="PR47" s="182">
        <v>1507</v>
      </c>
      <c r="PS47" s="182">
        <v>1507</v>
      </c>
      <c r="PT47" s="182">
        <v>1543</v>
      </c>
      <c r="PU47" s="182">
        <v>1548</v>
      </c>
      <c r="PV47" s="182">
        <v>1548</v>
      </c>
      <c r="PW47" s="182">
        <v>1548</v>
      </c>
      <c r="PX47" s="182">
        <v>1548</v>
      </c>
      <c r="PY47" s="182">
        <v>1569</v>
      </c>
      <c r="PZ47" s="182">
        <v>1588</v>
      </c>
      <c r="QA47" s="182">
        <v>1588</v>
      </c>
      <c r="QB47" s="182">
        <v>1599</v>
      </c>
      <c r="QC47" s="182">
        <v>1599</v>
      </c>
      <c r="QD47" s="182">
        <v>1599</v>
      </c>
      <c r="QE47" s="182">
        <v>1599</v>
      </c>
      <c r="QF47" s="182">
        <v>1599</v>
      </c>
      <c r="QG47" s="182">
        <v>1615</v>
      </c>
      <c r="QH47" s="182">
        <v>1638</v>
      </c>
      <c r="QI47" s="182">
        <v>1638</v>
      </c>
      <c r="QJ47" s="182">
        <v>1638</v>
      </c>
      <c r="QK47" s="182">
        <v>1638</v>
      </c>
      <c r="QL47" s="182">
        <v>1671</v>
      </c>
      <c r="QM47" s="182">
        <v>1731</v>
      </c>
      <c r="QN47" s="182">
        <v>1731</v>
      </c>
      <c r="QO47" s="182">
        <v>1731</v>
      </c>
      <c r="QP47" s="182">
        <v>1748</v>
      </c>
      <c r="QQ47" s="182">
        <v>1748</v>
      </c>
      <c r="QR47" s="182">
        <v>1748</v>
      </c>
      <c r="QS47" s="182">
        <v>1748</v>
      </c>
      <c r="QT47" s="182">
        <v>1879</v>
      </c>
      <c r="QU47" s="182">
        <v>1880</v>
      </c>
      <c r="QV47" s="182">
        <v>1880</v>
      </c>
      <c r="QW47" s="182">
        <v>1880</v>
      </c>
      <c r="QX47" s="182">
        <v>1880</v>
      </c>
      <c r="QY47" s="182">
        <v>1880</v>
      </c>
      <c r="QZ47" s="182">
        <v>1880</v>
      </c>
      <c r="RA47" s="182">
        <v>1880</v>
      </c>
      <c r="RB47" s="182">
        <v>1880</v>
      </c>
      <c r="RC47" s="182">
        <v>1880</v>
      </c>
      <c r="RD47" s="182">
        <v>1908</v>
      </c>
      <c r="RE47" s="182">
        <v>1911</v>
      </c>
      <c r="RF47" s="182">
        <v>1911</v>
      </c>
      <c r="RG47" s="182">
        <v>1920</v>
      </c>
      <c r="RH47" s="182">
        <v>1920</v>
      </c>
      <c r="RI47" s="182">
        <v>1992</v>
      </c>
      <c r="RJ47" s="182">
        <v>1992</v>
      </c>
      <c r="RK47" s="182">
        <v>2015</v>
      </c>
      <c r="RL47" s="182">
        <v>2015</v>
      </c>
      <c r="RM47" s="182">
        <v>2015</v>
      </c>
      <c r="RN47" s="182">
        <v>2114</v>
      </c>
      <c r="RO47" s="182">
        <v>2114</v>
      </c>
      <c r="RP47" s="182">
        <v>2114</v>
      </c>
      <c r="RQ47" s="182">
        <v>2114</v>
      </c>
      <c r="RR47" s="182">
        <v>2114</v>
      </c>
      <c r="RS47" s="182">
        <v>2114</v>
      </c>
      <c r="RT47" s="182">
        <v>2114</v>
      </c>
      <c r="RU47" s="182">
        <v>2114</v>
      </c>
      <c r="RV47" s="182">
        <v>2114</v>
      </c>
      <c r="RW47" s="182">
        <v>2114</v>
      </c>
      <c r="RX47" s="182">
        <v>2114</v>
      </c>
      <c r="RY47" s="182">
        <v>2114</v>
      </c>
      <c r="RZ47" s="182">
        <v>2114</v>
      </c>
      <c r="SA47" s="182">
        <v>2114</v>
      </c>
      <c r="SB47" s="182">
        <v>2130</v>
      </c>
      <c r="SC47" s="182">
        <v>2130</v>
      </c>
      <c r="SD47" s="182">
        <v>2130</v>
      </c>
      <c r="SE47" s="182">
        <v>2130</v>
      </c>
      <c r="SF47" s="182">
        <v>2130</v>
      </c>
      <c r="SG47" s="182">
        <v>2150</v>
      </c>
      <c r="SH47" s="182">
        <v>2323</v>
      </c>
      <c r="SI47" s="182">
        <v>2350</v>
      </c>
      <c r="SJ47" s="182">
        <v>2350</v>
      </c>
      <c r="SK47" s="182">
        <v>2529</v>
      </c>
      <c r="SL47" s="182">
        <v>2529</v>
      </c>
      <c r="SM47" s="182">
        <v>2529</v>
      </c>
      <c r="SN47" s="182">
        <v>2702</v>
      </c>
      <c r="SO47" s="182">
        <v>2742</v>
      </c>
      <c r="SP47" s="182">
        <v>2908</v>
      </c>
      <c r="SQ47" s="182">
        <v>2908</v>
      </c>
      <c r="SR47" s="182">
        <v>2908</v>
      </c>
      <c r="SS47" s="182">
        <v>2979</v>
      </c>
      <c r="ST47" s="182">
        <v>2979</v>
      </c>
      <c r="SU47" s="182">
        <v>2979</v>
      </c>
      <c r="SV47" s="182">
        <v>2979</v>
      </c>
      <c r="SW47" s="182">
        <v>2979</v>
      </c>
      <c r="SX47" s="182">
        <v>3279</v>
      </c>
      <c r="SY47" s="182">
        <v>3524</v>
      </c>
      <c r="SZ47" s="182">
        <v>3762</v>
      </c>
      <c r="TA47" s="182">
        <v>3762</v>
      </c>
      <c r="TB47" s="182">
        <v>3762</v>
      </c>
      <c r="TC47" s="182">
        <v>3865</v>
      </c>
      <c r="TD47" s="182">
        <v>3865</v>
      </c>
      <c r="TE47" s="182">
        <v>3865</v>
      </c>
      <c r="TF47" s="182">
        <v>3865</v>
      </c>
      <c r="TG47" s="182">
        <v>3865</v>
      </c>
      <c r="TH47" s="182">
        <v>3865</v>
      </c>
      <c r="TI47" s="182">
        <v>3865</v>
      </c>
      <c r="TJ47" s="182">
        <v>3865</v>
      </c>
      <c r="TK47" s="182">
        <v>4034</v>
      </c>
      <c r="TL47" s="182">
        <v>4115</v>
      </c>
      <c r="TM47" s="182">
        <v>4115</v>
      </c>
      <c r="TN47" s="182">
        <v>4252</v>
      </c>
      <c r="TO47" s="182">
        <v>5824</v>
      </c>
      <c r="TP47" s="182">
        <v>5824</v>
      </c>
      <c r="TQ47" s="182">
        <v>5824</v>
      </c>
      <c r="TR47" s="182">
        <v>5836</v>
      </c>
      <c r="TS47" s="182">
        <v>5836</v>
      </c>
      <c r="TT47" s="182">
        <v>5836</v>
      </c>
      <c r="TU47" s="182">
        <v>5836</v>
      </c>
      <c r="TV47" s="182">
        <v>5836</v>
      </c>
      <c r="TW47" s="182">
        <v>5836</v>
      </c>
      <c r="TX47" s="182">
        <v>5842</v>
      </c>
      <c r="TY47" s="182">
        <v>6112</v>
      </c>
      <c r="TZ47" s="182">
        <v>6112</v>
      </c>
      <c r="UA47" s="182">
        <v>6112</v>
      </c>
      <c r="UB47" s="182">
        <v>6112</v>
      </c>
      <c r="UC47" s="182">
        <v>6258</v>
      </c>
      <c r="UD47" s="182">
        <v>6276</v>
      </c>
      <c r="UE47" s="182">
        <v>6333</v>
      </c>
      <c r="UF47" s="182">
        <v>6333</v>
      </c>
      <c r="UG47" s="182">
        <v>6411</v>
      </c>
      <c r="UH47" s="182">
        <v>6476</v>
      </c>
      <c r="UI47" s="182">
        <v>6476</v>
      </c>
      <c r="UJ47" s="182">
        <v>6476</v>
      </c>
      <c r="UK47" s="182">
        <v>6476</v>
      </c>
      <c r="UL47" s="182">
        <v>6476</v>
      </c>
      <c r="UM47" s="182">
        <v>6476</v>
      </c>
      <c r="UN47" s="182">
        <v>6476</v>
      </c>
      <c r="UO47" s="182">
        <v>6476</v>
      </c>
      <c r="UP47" s="182">
        <v>6476</v>
      </c>
      <c r="UQ47" s="182">
        <v>6568</v>
      </c>
      <c r="UR47" s="182">
        <v>6627</v>
      </c>
      <c r="US47" s="182">
        <v>6665</v>
      </c>
      <c r="UT47" s="182">
        <v>6990</v>
      </c>
      <c r="UU47" s="182">
        <v>6990</v>
      </c>
      <c r="UV47" s="182">
        <v>6991</v>
      </c>
      <c r="UW47" s="182">
        <v>6996</v>
      </c>
      <c r="UX47" s="182">
        <v>6996</v>
      </c>
      <c r="UY47" s="182">
        <v>6996</v>
      </c>
      <c r="UZ47" s="182">
        <v>6996</v>
      </c>
      <c r="VA47" s="182">
        <v>6996</v>
      </c>
      <c r="VB47" s="182">
        <v>6996</v>
      </c>
      <c r="VC47" s="182">
        <v>6996</v>
      </c>
      <c r="VD47" s="182">
        <v>6996</v>
      </c>
      <c r="VE47" s="182">
        <v>6996</v>
      </c>
      <c r="VF47" s="182">
        <v>6996</v>
      </c>
      <c r="VG47" s="182">
        <v>7039</v>
      </c>
      <c r="VH47" s="182">
        <v>7117</v>
      </c>
      <c r="VI47" s="182">
        <v>7130</v>
      </c>
      <c r="VJ47" s="182">
        <v>7170</v>
      </c>
      <c r="VK47" s="182">
        <v>7170</v>
      </c>
      <c r="VL47" s="182">
        <v>7193</v>
      </c>
      <c r="VM47" s="182">
        <v>7347</v>
      </c>
      <c r="VN47" s="182">
        <v>7347</v>
      </c>
      <c r="VO47" s="182">
        <v>7423</v>
      </c>
      <c r="VP47" s="182">
        <v>7483</v>
      </c>
      <c r="VQ47" s="182">
        <v>7483</v>
      </c>
      <c r="VR47" s="182">
        <v>7512</v>
      </c>
      <c r="VS47" s="182">
        <v>8011</v>
      </c>
      <c r="VT47" s="182">
        <v>8144</v>
      </c>
      <c r="VU47" s="182">
        <v>8144</v>
      </c>
      <c r="VV47" s="182">
        <v>8144</v>
      </c>
      <c r="VW47" s="182">
        <v>8144</v>
      </c>
      <c r="VX47" s="182">
        <v>8144</v>
      </c>
      <c r="VY47" s="182">
        <v>8144</v>
      </c>
      <c r="VZ47" s="182">
        <v>8144</v>
      </c>
      <c r="WA47" s="182">
        <v>8144</v>
      </c>
      <c r="WB47" s="182">
        <v>8218</v>
      </c>
      <c r="WC47" s="182">
        <v>8227</v>
      </c>
      <c r="WD47" s="182">
        <v>8227</v>
      </c>
      <c r="WE47" s="182">
        <v>8255</v>
      </c>
      <c r="WF47" s="182">
        <v>8255</v>
      </c>
      <c r="WG47" s="182">
        <v>8315</v>
      </c>
      <c r="WH47" s="182">
        <v>8315</v>
      </c>
      <c r="WI47" s="182">
        <v>8315</v>
      </c>
      <c r="WJ47" s="182">
        <v>8315</v>
      </c>
      <c r="WK47" s="182">
        <v>8315</v>
      </c>
      <c r="WL47" s="182">
        <v>8315</v>
      </c>
      <c r="WM47" s="182">
        <v>8315</v>
      </c>
      <c r="WN47" s="182">
        <v>8315</v>
      </c>
      <c r="WO47" s="182">
        <v>8315</v>
      </c>
      <c r="WP47" s="182">
        <v>8315</v>
      </c>
      <c r="WQ47" s="182">
        <v>8315</v>
      </c>
      <c r="WR47" s="182">
        <v>8315</v>
      </c>
      <c r="WS47" s="182">
        <v>8315</v>
      </c>
      <c r="WT47" s="182">
        <v>8315</v>
      </c>
      <c r="WU47" s="182">
        <v>8437</v>
      </c>
      <c r="WV47" s="182">
        <v>8437</v>
      </c>
      <c r="WW47" s="182">
        <v>8503</v>
      </c>
      <c r="WX47" s="182">
        <v>8531</v>
      </c>
      <c r="WY47" s="182">
        <v>8633</v>
      </c>
      <c r="WZ47" s="182">
        <v>8778</v>
      </c>
      <c r="XA47" s="182">
        <v>8783</v>
      </c>
      <c r="XB47" s="182">
        <v>8783</v>
      </c>
      <c r="XC47" s="182">
        <v>8783</v>
      </c>
      <c r="XD47" s="182">
        <v>8783</v>
      </c>
      <c r="XE47" s="182">
        <v>8783</v>
      </c>
      <c r="XF47" s="182">
        <v>8783</v>
      </c>
      <c r="XG47" s="182">
        <v>8783</v>
      </c>
      <c r="XH47" s="182">
        <v>8783</v>
      </c>
      <c r="XI47" s="182">
        <v>8783</v>
      </c>
      <c r="XJ47" s="182">
        <v>8997</v>
      </c>
      <c r="XK47" s="182">
        <v>9065</v>
      </c>
      <c r="XL47" s="182">
        <v>9065</v>
      </c>
      <c r="XM47" s="182">
        <v>9098</v>
      </c>
      <c r="XN47" s="182">
        <v>9098</v>
      </c>
      <c r="XO47" s="182">
        <v>9098</v>
      </c>
      <c r="XP47" s="182">
        <v>9105</v>
      </c>
      <c r="XQ47" s="182">
        <v>9105</v>
      </c>
      <c r="XR47" s="182">
        <v>9105</v>
      </c>
      <c r="XS47" s="182">
        <v>9105</v>
      </c>
      <c r="XT47" s="182">
        <v>9199</v>
      </c>
      <c r="XU47" s="182">
        <v>9265</v>
      </c>
      <c r="XV47" s="182">
        <v>9346</v>
      </c>
      <c r="XW47" s="182">
        <v>9346</v>
      </c>
      <c r="XX47" s="182">
        <v>9346</v>
      </c>
      <c r="XY47" s="182">
        <v>9346</v>
      </c>
      <c r="XZ47" s="182">
        <v>9346</v>
      </c>
      <c r="YA47" s="182">
        <v>9346</v>
      </c>
      <c r="YB47" s="182">
        <v>9346</v>
      </c>
      <c r="YC47" s="182">
        <v>9346</v>
      </c>
      <c r="YD47" s="182">
        <v>9367</v>
      </c>
      <c r="YE47" s="182">
        <v>9367</v>
      </c>
      <c r="YF47" s="182">
        <v>9412</v>
      </c>
      <c r="YG47" s="182">
        <v>9412</v>
      </c>
      <c r="YH47" s="182">
        <v>9464</v>
      </c>
      <c r="YI47" s="182">
        <v>9466</v>
      </c>
      <c r="YJ47" s="182">
        <v>9524</v>
      </c>
      <c r="YK47" s="182">
        <v>9616</v>
      </c>
      <c r="YL47" s="182">
        <v>9628</v>
      </c>
      <c r="YM47" s="182">
        <v>9628</v>
      </c>
      <c r="YN47" s="182">
        <v>9628</v>
      </c>
      <c r="YO47" s="182">
        <v>9729</v>
      </c>
      <c r="YP47" s="182">
        <v>9885</v>
      </c>
      <c r="YQ47" s="182">
        <v>9909</v>
      </c>
      <c r="YR47" s="182">
        <v>9909</v>
      </c>
      <c r="YS47" s="182">
        <v>9909</v>
      </c>
      <c r="YT47" s="182">
        <v>10349</v>
      </c>
      <c r="YU47" s="182">
        <v>10349</v>
      </c>
      <c r="YV47" s="182">
        <v>10349</v>
      </c>
      <c r="YW47" s="182">
        <v>10349</v>
      </c>
      <c r="YX47" s="182">
        <v>10349</v>
      </c>
      <c r="YY47" s="182">
        <v>10349</v>
      </c>
      <c r="YZ47" s="182">
        <v>10605</v>
      </c>
      <c r="ZA47" s="182">
        <v>10671</v>
      </c>
      <c r="ZB47" s="182">
        <v>14044</v>
      </c>
      <c r="ZC47" s="182">
        <v>14044</v>
      </c>
      <c r="ZL47" s="182" t="str">
        <f t="shared" si="1"/>
        <v>BRUXELLES -LYON</v>
      </c>
      <c r="ZM47" s="183" t="s">
        <v>537</v>
      </c>
      <c r="ZN47" s="182" t="s">
        <v>517</v>
      </c>
      <c r="ZO47" s="182">
        <v>566</v>
      </c>
      <c r="ZP47" s="198">
        <v>177.72399999999999</v>
      </c>
      <c r="ZQ47" s="193"/>
      <c r="ZR47" s="193"/>
      <c r="ZS47" s="193"/>
      <c r="ZT47" s="193"/>
    </row>
    <row r="48" spans="1:696" s="192" customFormat="1" ht="28.8">
      <c r="A48" s="91"/>
      <c r="B48" s="91"/>
      <c r="C48" s="91"/>
      <c r="D48" s="735"/>
      <c r="E48" s="191" t="s">
        <v>712</v>
      </c>
      <c r="F48" s="184">
        <f t="shared" ref="F48:BQ48" si="2">F47*0.314</f>
        <v>58.09</v>
      </c>
      <c r="G48" s="184">
        <f t="shared" si="2"/>
        <v>58.09</v>
      </c>
      <c r="H48" s="184">
        <f t="shared" si="2"/>
        <v>58.09</v>
      </c>
      <c r="I48" s="184">
        <f t="shared" si="2"/>
        <v>59.032000000000004</v>
      </c>
      <c r="J48" s="184">
        <f t="shared" si="2"/>
        <v>59.032000000000004</v>
      </c>
      <c r="K48" s="184">
        <f t="shared" si="2"/>
        <v>59.032000000000004</v>
      </c>
      <c r="L48" s="184">
        <f t="shared" si="2"/>
        <v>59.032000000000004</v>
      </c>
      <c r="M48" s="184">
        <f t="shared" si="2"/>
        <v>69.394000000000005</v>
      </c>
      <c r="N48" s="184">
        <f t="shared" si="2"/>
        <v>84.152000000000001</v>
      </c>
      <c r="O48" s="184">
        <f t="shared" si="2"/>
        <v>84.152000000000001</v>
      </c>
      <c r="P48" s="184">
        <f t="shared" si="2"/>
        <v>86.664000000000001</v>
      </c>
      <c r="Q48" s="184">
        <f t="shared" si="2"/>
        <v>93.572000000000003</v>
      </c>
      <c r="R48" s="184">
        <f t="shared" si="2"/>
        <v>93.572000000000003</v>
      </c>
      <c r="S48" s="184">
        <f t="shared" si="2"/>
        <v>93.572000000000003</v>
      </c>
      <c r="T48" s="184">
        <f t="shared" si="2"/>
        <v>93.572000000000003</v>
      </c>
      <c r="U48" s="184">
        <f t="shared" si="2"/>
        <v>93.572000000000003</v>
      </c>
      <c r="V48" s="184">
        <f t="shared" si="2"/>
        <v>93.572000000000003</v>
      </c>
      <c r="W48" s="184">
        <f t="shared" si="2"/>
        <v>93.572000000000003</v>
      </c>
      <c r="X48" s="184">
        <f t="shared" si="2"/>
        <v>93.572000000000003</v>
      </c>
      <c r="Y48" s="184">
        <f t="shared" si="2"/>
        <v>93.572000000000003</v>
      </c>
      <c r="Z48" s="184">
        <f t="shared" si="2"/>
        <v>93.572000000000003</v>
      </c>
      <c r="AA48" s="184">
        <f t="shared" si="2"/>
        <v>93.572000000000003</v>
      </c>
      <c r="AB48" s="184">
        <f t="shared" si="2"/>
        <v>97.968000000000004</v>
      </c>
      <c r="AC48" s="184">
        <f t="shared" si="2"/>
        <v>105.19</v>
      </c>
      <c r="AD48" s="184">
        <f t="shared" si="2"/>
        <v>106.13200000000001</v>
      </c>
      <c r="AE48" s="184">
        <f t="shared" si="2"/>
        <v>106.446</v>
      </c>
      <c r="AF48" s="184">
        <f t="shared" si="2"/>
        <v>106.76</v>
      </c>
      <c r="AG48" s="184">
        <f t="shared" si="2"/>
        <v>106.76</v>
      </c>
      <c r="AH48" s="184">
        <f t="shared" si="2"/>
        <v>109.27200000000001</v>
      </c>
      <c r="AI48" s="184">
        <f t="shared" si="2"/>
        <v>112.098</v>
      </c>
      <c r="AJ48" s="184">
        <f t="shared" si="2"/>
        <v>112.098</v>
      </c>
      <c r="AK48" s="184">
        <f t="shared" si="2"/>
        <v>112.098</v>
      </c>
      <c r="AL48" s="184">
        <f t="shared" si="2"/>
        <v>112.098</v>
      </c>
      <c r="AM48" s="184">
        <f t="shared" si="2"/>
        <v>112.098</v>
      </c>
      <c r="AN48" s="184">
        <f t="shared" si="2"/>
        <v>112.098</v>
      </c>
      <c r="AO48" s="184">
        <f t="shared" si="2"/>
        <v>112.098</v>
      </c>
      <c r="AP48" s="184">
        <f t="shared" si="2"/>
        <v>112.41200000000001</v>
      </c>
      <c r="AQ48" s="184">
        <f t="shared" si="2"/>
        <v>112.41200000000001</v>
      </c>
      <c r="AR48" s="184">
        <f t="shared" si="2"/>
        <v>112.726</v>
      </c>
      <c r="AS48" s="184">
        <f t="shared" si="2"/>
        <v>112.726</v>
      </c>
      <c r="AT48" s="184">
        <f t="shared" si="2"/>
        <v>112.726</v>
      </c>
      <c r="AU48" s="184">
        <f t="shared" si="2"/>
        <v>112.726</v>
      </c>
      <c r="AV48" s="184">
        <f t="shared" si="2"/>
        <v>112.726</v>
      </c>
      <c r="AW48" s="184">
        <f t="shared" si="2"/>
        <v>112.726</v>
      </c>
      <c r="AX48" s="184">
        <f t="shared" si="2"/>
        <v>112.726</v>
      </c>
      <c r="AY48" s="184">
        <f t="shared" si="2"/>
        <v>112.726</v>
      </c>
      <c r="AZ48" s="184">
        <f t="shared" si="2"/>
        <v>112.726</v>
      </c>
      <c r="BA48" s="184">
        <f t="shared" si="2"/>
        <v>112.726</v>
      </c>
      <c r="BB48" s="184">
        <f t="shared" si="2"/>
        <v>112.726</v>
      </c>
      <c r="BC48" s="184">
        <f t="shared" si="2"/>
        <v>112.726</v>
      </c>
      <c r="BD48" s="184">
        <f t="shared" si="2"/>
        <v>112.726</v>
      </c>
      <c r="BE48" s="184">
        <f t="shared" si="2"/>
        <v>112.726</v>
      </c>
      <c r="BF48" s="184">
        <f t="shared" si="2"/>
        <v>112.726</v>
      </c>
      <c r="BG48" s="184">
        <f t="shared" si="2"/>
        <v>112.726</v>
      </c>
      <c r="BH48" s="184">
        <f t="shared" si="2"/>
        <v>112.726</v>
      </c>
      <c r="BI48" s="184">
        <f t="shared" si="2"/>
        <v>112.726</v>
      </c>
      <c r="BJ48" s="184">
        <f t="shared" si="2"/>
        <v>112.726</v>
      </c>
      <c r="BK48" s="184">
        <f t="shared" si="2"/>
        <v>112.726</v>
      </c>
      <c r="BL48" s="184">
        <f t="shared" si="2"/>
        <v>112.726</v>
      </c>
      <c r="BM48" s="184">
        <f t="shared" si="2"/>
        <v>112.726</v>
      </c>
      <c r="BN48" s="184">
        <f t="shared" si="2"/>
        <v>112.726</v>
      </c>
      <c r="BO48" s="184">
        <f t="shared" si="2"/>
        <v>112.726</v>
      </c>
      <c r="BP48" s="184">
        <f t="shared" si="2"/>
        <v>112.726</v>
      </c>
      <c r="BQ48" s="184">
        <f t="shared" si="2"/>
        <v>112.726</v>
      </c>
      <c r="BR48" s="184">
        <f t="shared" ref="BR48:EC48" si="3">BR47*0.314</f>
        <v>112.726</v>
      </c>
      <c r="BS48" s="184">
        <f t="shared" si="3"/>
        <v>112.726</v>
      </c>
      <c r="BT48" s="184">
        <f t="shared" si="3"/>
        <v>112.726</v>
      </c>
      <c r="BU48" s="184">
        <f t="shared" si="3"/>
        <v>112.726</v>
      </c>
      <c r="BV48" s="184">
        <f t="shared" si="3"/>
        <v>112.726</v>
      </c>
      <c r="BW48" s="184">
        <f t="shared" si="3"/>
        <v>112.726</v>
      </c>
      <c r="BX48" s="184">
        <f t="shared" si="3"/>
        <v>112.726</v>
      </c>
      <c r="BY48" s="184">
        <f t="shared" si="3"/>
        <v>112.726</v>
      </c>
      <c r="BZ48" s="184">
        <f t="shared" si="3"/>
        <v>112.726</v>
      </c>
      <c r="CA48" s="184">
        <f t="shared" si="3"/>
        <v>112.726</v>
      </c>
      <c r="CB48" s="184">
        <f t="shared" si="3"/>
        <v>112.726</v>
      </c>
      <c r="CC48" s="184">
        <f t="shared" si="3"/>
        <v>112.726</v>
      </c>
      <c r="CD48" s="184">
        <f t="shared" si="3"/>
        <v>112.726</v>
      </c>
      <c r="CE48" s="184">
        <f t="shared" si="3"/>
        <v>112.726</v>
      </c>
      <c r="CF48" s="184">
        <f t="shared" si="3"/>
        <v>112.726</v>
      </c>
      <c r="CG48" s="184">
        <f t="shared" si="3"/>
        <v>112.726</v>
      </c>
      <c r="CH48" s="184">
        <f t="shared" si="3"/>
        <v>112.726</v>
      </c>
      <c r="CI48" s="184">
        <f t="shared" si="3"/>
        <v>112.726</v>
      </c>
      <c r="CJ48" s="184">
        <f t="shared" si="3"/>
        <v>112.726</v>
      </c>
      <c r="CK48" s="184">
        <f t="shared" si="3"/>
        <v>112.726</v>
      </c>
      <c r="CL48" s="184">
        <f t="shared" si="3"/>
        <v>112.726</v>
      </c>
      <c r="CM48" s="184">
        <f t="shared" si="3"/>
        <v>112.726</v>
      </c>
      <c r="CN48" s="184">
        <f t="shared" si="3"/>
        <v>112.726</v>
      </c>
      <c r="CO48" s="184">
        <f t="shared" si="3"/>
        <v>112.726</v>
      </c>
      <c r="CP48" s="184">
        <f t="shared" si="3"/>
        <v>112.726</v>
      </c>
      <c r="CQ48" s="184">
        <f t="shared" si="3"/>
        <v>112.726</v>
      </c>
      <c r="CR48" s="184">
        <f t="shared" si="3"/>
        <v>112.726</v>
      </c>
      <c r="CS48" s="184">
        <f t="shared" si="3"/>
        <v>112.726</v>
      </c>
      <c r="CT48" s="184">
        <f t="shared" si="3"/>
        <v>112.726</v>
      </c>
      <c r="CU48" s="184">
        <f t="shared" si="3"/>
        <v>112.726</v>
      </c>
      <c r="CV48" s="184">
        <f t="shared" si="3"/>
        <v>112.726</v>
      </c>
      <c r="CW48" s="184">
        <f t="shared" si="3"/>
        <v>112.726</v>
      </c>
      <c r="CX48" s="184">
        <f t="shared" si="3"/>
        <v>112.726</v>
      </c>
      <c r="CY48" s="184">
        <f t="shared" si="3"/>
        <v>117.43600000000001</v>
      </c>
      <c r="CZ48" s="184">
        <f t="shared" si="3"/>
        <v>117.43600000000001</v>
      </c>
      <c r="DA48" s="184">
        <f t="shared" si="3"/>
        <v>120.57599999999999</v>
      </c>
      <c r="DB48" s="184">
        <f t="shared" si="3"/>
        <v>120.57599999999999</v>
      </c>
      <c r="DC48" s="184">
        <f t="shared" si="3"/>
        <v>120.57599999999999</v>
      </c>
      <c r="DD48" s="184">
        <f t="shared" si="3"/>
        <v>123.08799999999999</v>
      </c>
      <c r="DE48" s="184">
        <f t="shared" si="3"/>
        <v>123.08799999999999</v>
      </c>
      <c r="DF48" s="184">
        <f t="shared" si="3"/>
        <v>123.08799999999999</v>
      </c>
      <c r="DG48" s="184">
        <f t="shared" si="3"/>
        <v>123.08799999999999</v>
      </c>
      <c r="DH48" s="184">
        <f t="shared" si="3"/>
        <v>136.59</v>
      </c>
      <c r="DI48" s="184">
        <f t="shared" si="3"/>
        <v>136.59</v>
      </c>
      <c r="DJ48" s="184">
        <f t="shared" si="3"/>
        <v>136.59</v>
      </c>
      <c r="DK48" s="184">
        <f t="shared" si="3"/>
        <v>136.59</v>
      </c>
      <c r="DL48" s="184">
        <f t="shared" si="3"/>
        <v>136.59</v>
      </c>
      <c r="DM48" s="184">
        <f t="shared" si="3"/>
        <v>147.26599999999999</v>
      </c>
      <c r="DN48" s="184">
        <f t="shared" si="3"/>
        <v>147.26599999999999</v>
      </c>
      <c r="DO48" s="184">
        <f t="shared" si="3"/>
        <v>147.26599999999999</v>
      </c>
      <c r="DP48" s="184">
        <f t="shared" si="3"/>
        <v>147.26599999999999</v>
      </c>
      <c r="DQ48" s="184">
        <f t="shared" si="3"/>
        <v>147.26599999999999</v>
      </c>
      <c r="DR48" s="184">
        <f t="shared" si="3"/>
        <v>147.26599999999999</v>
      </c>
      <c r="DS48" s="184">
        <f t="shared" si="3"/>
        <v>157.31399999999999</v>
      </c>
      <c r="DT48" s="184">
        <f t="shared" si="3"/>
        <v>161.71</v>
      </c>
      <c r="DU48" s="184">
        <f t="shared" si="3"/>
        <v>161.71</v>
      </c>
      <c r="DV48" s="184">
        <f t="shared" si="3"/>
        <v>161.71</v>
      </c>
      <c r="DW48" s="184">
        <f t="shared" si="3"/>
        <v>161.71</v>
      </c>
      <c r="DX48" s="184">
        <f t="shared" si="3"/>
        <v>161.71</v>
      </c>
      <c r="DY48" s="184">
        <f t="shared" si="3"/>
        <v>161.71</v>
      </c>
      <c r="DZ48" s="184">
        <f t="shared" si="3"/>
        <v>161.71</v>
      </c>
      <c r="EA48" s="184">
        <f t="shared" si="3"/>
        <v>161.71</v>
      </c>
      <c r="EB48" s="184">
        <f t="shared" si="3"/>
        <v>161.71</v>
      </c>
      <c r="EC48" s="184">
        <f t="shared" si="3"/>
        <v>161.71</v>
      </c>
      <c r="ED48" s="184">
        <f t="shared" ref="ED48:GO48" si="4">ED47*0.314</f>
        <v>161.71</v>
      </c>
      <c r="EE48" s="184">
        <f t="shared" si="4"/>
        <v>161.71</v>
      </c>
      <c r="EF48" s="184">
        <f t="shared" si="4"/>
        <v>166.10599999999999</v>
      </c>
      <c r="EG48" s="184">
        <f t="shared" si="4"/>
        <v>166.73400000000001</v>
      </c>
      <c r="EH48" s="184">
        <f t="shared" si="4"/>
        <v>166.73400000000001</v>
      </c>
      <c r="EI48" s="184">
        <f t="shared" si="4"/>
        <v>166.73400000000001</v>
      </c>
      <c r="EJ48" s="184">
        <f t="shared" si="4"/>
        <v>170.18799999999999</v>
      </c>
      <c r="EK48" s="184">
        <f t="shared" si="4"/>
        <v>172.7</v>
      </c>
      <c r="EL48" s="184">
        <f t="shared" si="4"/>
        <v>172.7</v>
      </c>
      <c r="EM48" s="184">
        <f t="shared" si="4"/>
        <v>172.7</v>
      </c>
      <c r="EN48" s="184">
        <f t="shared" si="4"/>
        <v>172.7</v>
      </c>
      <c r="EO48" s="184">
        <f t="shared" si="4"/>
        <v>172.7</v>
      </c>
      <c r="EP48" s="184">
        <f t="shared" si="4"/>
        <v>172.7</v>
      </c>
      <c r="EQ48" s="184">
        <f t="shared" si="4"/>
        <v>172.7</v>
      </c>
      <c r="ER48" s="184">
        <f t="shared" si="4"/>
        <v>174.898</v>
      </c>
      <c r="ES48" s="184">
        <f t="shared" si="4"/>
        <v>174.898</v>
      </c>
      <c r="ET48" s="184">
        <f t="shared" si="4"/>
        <v>174.898</v>
      </c>
      <c r="EU48" s="184">
        <f t="shared" si="4"/>
        <v>174.898</v>
      </c>
      <c r="EV48" s="184">
        <f t="shared" si="4"/>
        <v>175.52600000000001</v>
      </c>
      <c r="EW48" s="184">
        <f t="shared" si="4"/>
        <v>175.52600000000001</v>
      </c>
      <c r="EX48" s="184">
        <f t="shared" si="4"/>
        <v>175.52600000000001</v>
      </c>
      <c r="EY48" s="184">
        <f t="shared" si="4"/>
        <v>175.84</v>
      </c>
      <c r="EZ48" s="184">
        <f t="shared" si="4"/>
        <v>175.84</v>
      </c>
      <c r="FA48" s="184">
        <f t="shared" si="4"/>
        <v>176.46799999999999</v>
      </c>
      <c r="FB48" s="184">
        <f t="shared" si="4"/>
        <v>176.46799999999999</v>
      </c>
      <c r="FC48" s="184">
        <f t="shared" si="4"/>
        <v>176.78200000000001</v>
      </c>
      <c r="FD48" s="184">
        <f t="shared" si="4"/>
        <v>176.78200000000001</v>
      </c>
      <c r="FE48" s="184">
        <f t="shared" si="4"/>
        <v>177.41</v>
      </c>
      <c r="FF48" s="184">
        <f t="shared" si="4"/>
        <v>177.41</v>
      </c>
      <c r="FG48" s="184">
        <f t="shared" si="4"/>
        <v>177.41</v>
      </c>
      <c r="FH48" s="184">
        <f t="shared" si="4"/>
        <v>177.41</v>
      </c>
      <c r="FI48" s="184">
        <f t="shared" si="4"/>
        <v>177.41</v>
      </c>
      <c r="FJ48" s="184">
        <f t="shared" si="4"/>
        <v>177.41</v>
      </c>
      <c r="FK48" s="184">
        <f t="shared" si="4"/>
        <v>177.41</v>
      </c>
      <c r="FL48" s="184">
        <f t="shared" si="4"/>
        <v>177.41</v>
      </c>
      <c r="FM48" s="184">
        <f t="shared" si="4"/>
        <v>177.41</v>
      </c>
      <c r="FN48" s="184">
        <f t="shared" si="4"/>
        <v>177.41</v>
      </c>
      <c r="FO48" s="184">
        <f t="shared" si="4"/>
        <v>177.41</v>
      </c>
      <c r="FP48" s="184">
        <f t="shared" si="4"/>
        <v>177.41</v>
      </c>
      <c r="FQ48" s="184">
        <f t="shared" si="4"/>
        <v>177.41</v>
      </c>
      <c r="FR48" s="184">
        <f t="shared" si="4"/>
        <v>177.41</v>
      </c>
      <c r="FS48" s="184">
        <f t="shared" si="4"/>
        <v>177.41</v>
      </c>
      <c r="FT48" s="184">
        <f t="shared" si="4"/>
        <v>177.41</v>
      </c>
      <c r="FU48" s="184">
        <f t="shared" si="4"/>
        <v>177.41</v>
      </c>
      <c r="FV48" s="184">
        <f t="shared" si="4"/>
        <v>177.41</v>
      </c>
      <c r="FW48" s="184">
        <f t="shared" si="4"/>
        <v>177.41</v>
      </c>
      <c r="FX48" s="184">
        <f t="shared" si="4"/>
        <v>177.41</v>
      </c>
      <c r="FY48" s="184">
        <f t="shared" si="4"/>
        <v>177.41</v>
      </c>
      <c r="FZ48" s="184">
        <f t="shared" si="4"/>
        <v>177.72399999999999</v>
      </c>
      <c r="GA48" s="184">
        <f t="shared" si="4"/>
        <v>177.72399999999999</v>
      </c>
      <c r="GB48" s="184">
        <f t="shared" si="4"/>
        <v>177.72399999999999</v>
      </c>
      <c r="GC48" s="184">
        <f t="shared" si="4"/>
        <v>180.55</v>
      </c>
      <c r="GD48" s="184">
        <f t="shared" si="4"/>
        <v>180.55</v>
      </c>
      <c r="GE48" s="184">
        <f t="shared" si="4"/>
        <v>180.55</v>
      </c>
      <c r="GF48" s="184">
        <f t="shared" si="4"/>
        <v>180.55</v>
      </c>
      <c r="GG48" s="184">
        <f t="shared" si="4"/>
        <v>180.55</v>
      </c>
      <c r="GH48" s="184">
        <f t="shared" si="4"/>
        <v>180.55</v>
      </c>
      <c r="GI48" s="184">
        <f t="shared" si="4"/>
        <v>180.55</v>
      </c>
      <c r="GJ48" s="184">
        <f t="shared" si="4"/>
        <v>180.55</v>
      </c>
      <c r="GK48" s="184">
        <f t="shared" si="4"/>
        <v>180.55</v>
      </c>
      <c r="GL48" s="184">
        <f t="shared" si="4"/>
        <v>180.55</v>
      </c>
      <c r="GM48" s="184">
        <f t="shared" si="4"/>
        <v>180.55</v>
      </c>
      <c r="GN48" s="184">
        <f t="shared" si="4"/>
        <v>180.55</v>
      </c>
      <c r="GO48" s="184">
        <f t="shared" si="4"/>
        <v>180.55</v>
      </c>
      <c r="GP48" s="184">
        <f t="shared" ref="GP48:JA48" si="5">GP47*0.314</f>
        <v>180.55</v>
      </c>
      <c r="GQ48" s="184">
        <f t="shared" si="5"/>
        <v>180.864</v>
      </c>
      <c r="GR48" s="184">
        <f t="shared" si="5"/>
        <v>184.63200000000001</v>
      </c>
      <c r="GS48" s="184">
        <f t="shared" si="5"/>
        <v>184.63200000000001</v>
      </c>
      <c r="GT48" s="184">
        <f t="shared" si="5"/>
        <v>186.83</v>
      </c>
      <c r="GU48" s="184">
        <f t="shared" si="5"/>
        <v>186.83</v>
      </c>
      <c r="GV48" s="184">
        <f t="shared" si="5"/>
        <v>187.458</v>
      </c>
      <c r="GW48" s="184">
        <f t="shared" si="5"/>
        <v>192.16800000000001</v>
      </c>
      <c r="GX48" s="184">
        <f t="shared" si="5"/>
        <v>192.16800000000001</v>
      </c>
      <c r="GY48" s="184">
        <f t="shared" si="5"/>
        <v>192.16800000000001</v>
      </c>
      <c r="GZ48" s="184">
        <f t="shared" si="5"/>
        <v>192.16800000000001</v>
      </c>
      <c r="HA48" s="184">
        <f t="shared" si="5"/>
        <v>192.16800000000001</v>
      </c>
      <c r="HB48" s="184">
        <f t="shared" si="5"/>
        <v>195.30799999999999</v>
      </c>
      <c r="HC48" s="184">
        <f t="shared" si="5"/>
        <v>195.30799999999999</v>
      </c>
      <c r="HD48" s="184">
        <f t="shared" si="5"/>
        <v>195.93600000000001</v>
      </c>
      <c r="HE48" s="184">
        <f t="shared" si="5"/>
        <v>196.25</v>
      </c>
      <c r="HF48" s="184">
        <f t="shared" si="5"/>
        <v>200.96</v>
      </c>
      <c r="HG48" s="184">
        <f t="shared" si="5"/>
        <v>203.15799999999999</v>
      </c>
      <c r="HH48" s="184">
        <f t="shared" si="5"/>
        <v>207.24</v>
      </c>
      <c r="HI48" s="184">
        <f t="shared" si="5"/>
        <v>207.86799999999999</v>
      </c>
      <c r="HJ48" s="184">
        <f t="shared" si="5"/>
        <v>207.86799999999999</v>
      </c>
      <c r="HK48" s="184">
        <f t="shared" si="5"/>
        <v>208.18199999999999</v>
      </c>
      <c r="HL48" s="184">
        <f t="shared" si="5"/>
        <v>208.18199999999999</v>
      </c>
      <c r="HM48" s="184">
        <f t="shared" si="5"/>
        <v>215.404</v>
      </c>
      <c r="HN48" s="184">
        <f t="shared" si="5"/>
        <v>215.404</v>
      </c>
      <c r="HO48" s="184">
        <f t="shared" si="5"/>
        <v>215.404</v>
      </c>
      <c r="HP48" s="184">
        <f t="shared" si="5"/>
        <v>223.25399999999999</v>
      </c>
      <c r="HQ48" s="184">
        <f t="shared" si="5"/>
        <v>224.82400000000001</v>
      </c>
      <c r="HR48" s="184">
        <f t="shared" si="5"/>
        <v>230.79</v>
      </c>
      <c r="HS48" s="184">
        <f t="shared" si="5"/>
        <v>230.79</v>
      </c>
      <c r="HT48" s="184">
        <f t="shared" si="5"/>
        <v>230.79</v>
      </c>
      <c r="HU48" s="184">
        <f t="shared" si="5"/>
        <v>230.79</v>
      </c>
      <c r="HV48" s="184">
        <f t="shared" si="5"/>
        <v>230.79</v>
      </c>
      <c r="HW48" s="184">
        <f t="shared" si="5"/>
        <v>230.79</v>
      </c>
      <c r="HX48" s="184">
        <f t="shared" si="5"/>
        <v>230.79</v>
      </c>
      <c r="HY48" s="184">
        <f t="shared" si="5"/>
        <v>230.79</v>
      </c>
      <c r="HZ48" s="184">
        <f t="shared" si="5"/>
        <v>230.79</v>
      </c>
      <c r="IA48" s="184">
        <f t="shared" si="5"/>
        <v>230.79</v>
      </c>
      <c r="IB48" s="184">
        <f t="shared" si="5"/>
        <v>230.79</v>
      </c>
      <c r="IC48" s="184">
        <f t="shared" si="5"/>
        <v>230.79</v>
      </c>
      <c r="ID48" s="184">
        <f t="shared" si="5"/>
        <v>230.79</v>
      </c>
      <c r="IE48" s="184">
        <f t="shared" si="5"/>
        <v>230.79</v>
      </c>
      <c r="IF48" s="184">
        <f t="shared" si="5"/>
        <v>230.79</v>
      </c>
      <c r="IG48" s="184">
        <f t="shared" si="5"/>
        <v>230.79</v>
      </c>
      <c r="IH48" s="184">
        <f t="shared" si="5"/>
        <v>230.79</v>
      </c>
      <c r="II48" s="184">
        <f t="shared" si="5"/>
        <v>230.79</v>
      </c>
      <c r="IJ48" s="184">
        <f t="shared" si="5"/>
        <v>230.79</v>
      </c>
      <c r="IK48" s="184">
        <f t="shared" si="5"/>
        <v>230.79</v>
      </c>
      <c r="IL48" s="184">
        <f t="shared" si="5"/>
        <v>230.79</v>
      </c>
      <c r="IM48" s="184">
        <f t="shared" si="5"/>
        <v>230.79</v>
      </c>
      <c r="IN48" s="184">
        <f t="shared" si="5"/>
        <v>230.79</v>
      </c>
      <c r="IO48" s="184">
        <f t="shared" si="5"/>
        <v>234.87200000000001</v>
      </c>
      <c r="IP48" s="184">
        <f t="shared" si="5"/>
        <v>235.5</v>
      </c>
      <c r="IQ48" s="184">
        <f t="shared" si="5"/>
        <v>235.5</v>
      </c>
      <c r="IR48" s="184">
        <f t="shared" si="5"/>
        <v>235.5</v>
      </c>
      <c r="IS48" s="184">
        <f t="shared" si="5"/>
        <v>244.60599999999999</v>
      </c>
      <c r="IT48" s="184">
        <f t="shared" si="5"/>
        <v>244.60599999999999</v>
      </c>
      <c r="IU48" s="184">
        <f t="shared" si="5"/>
        <v>248.374</v>
      </c>
      <c r="IV48" s="184">
        <f t="shared" si="5"/>
        <v>248.374</v>
      </c>
      <c r="IW48" s="184">
        <f t="shared" si="5"/>
        <v>248.374</v>
      </c>
      <c r="IX48" s="184">
        <f t="shared" si="5"/>
        <v>248.374</v>
      </c>
      <c r="IY48" s="184">
        <f t="shared" si="5"/>
        <v>256.53800000000001</v>
      </c>
      <c r="IZ48" s="184">
        <f t="shared" si="5"/>
        <v>256.53800000000001</v>
      </c>
      <c r="JA48" s="184">
        <f t="shared" si="5"/>
        <v>256.53800000000001</v>
      </c>
      <c r="JB48" s="184">
        <f t="shared" ref="JB48:LM48" si="6">JB47*0.314</f>
        <v>256.53800000000001</v>
      </c>
      <c r="JC48" s="184">
        <f t="shared" si="6"/>
        <v>256.53800000000001</v>
      </c>
      <c r="JD48" s="184">
        <f t="shared" si="6"/>
        <v>256.85199999999998</v>
      </c>
      <c r="JE48" s="184">
        <f t="shared" si="6"/>
        <v>259.36399999999998</v>
      </c>
      <c r="JF48" s="184">
        <f t="shared" si="6"/>
        <v>259.678</v>
      </c>
      <c r="JG48" s="184">
        <f t="shared" si="6"/>
        <v>264.38799999999998</v>
      </c>
      <c r="JH48" s="184">
        <f t="shared" si="6"/>
        <v>264.38799999999998</v>
      </c>
      <c r="JI48" s="184">
        <f t="shared" si="6"/>
        <v>268.47000000000003</v>
      </c>
      <c r="JJ48" s="184">
        <f t="shared" si="6"/>
        <v>268.47000000000003</v>
      </c>
      <c r="JK48" s="184">
        <f t="shared" si="6"/>
        <v>268.47000000000003</v>
      </c>
      <c r="JL48" s="184">
        <f t="shared" si="6"/>
        <v>268.47000000000003</v>
      </c>
      <c r="JM48" s="184">
        <f t="shared" si="6"/>
        <v>270.04000000000002</v>
      </c>
      <c r="JN48" s="184">
        <f t="shared" si="6"/>
        <v>270.04000000000002</v>
      </c>
      <c r="JO48" s="184">
        <f t="shared" si="6"/>
        <v>270.04000000000002</v>
      </c>
      <c r="JP48" s="184">
        <f t="shared" si="6"/>
        <v>270.04000000000002</v>
      </c>
      <c r="JQ48" s="184">
        <f t="shared" si="6"/>
        <v>270.04000000000002</v>
      </c>
      <c r="JR48" s="184">
        <f t="shared" si="6"/>
        <v>270.04000000000002</v>
      </c>
      <c r="JS48" s="184">
        <f t="shared" si="6"/>
        <v>271.61</v>
      </c>
      <c r="JT48" s="184">
        <f t="shared" si="6"/>
        <v>276.63400000000001</v>
      </c>
      <c r="JU48" s="184">
        <f t="shared" si="6"/>
        <v>280.08800000000002</v>
      </c>
      <c r="JV48" s="184">
        <f t="shared" si="6"/>
        <v>280.08800000000002</v>
      </c>
      <c r="JW48" s="184">
        <f t="shared" si="6"/>
        <v>280.08800000000002</v>
      </c>
      <c r="JX48" s="184">
        <f t="shared" si="6"/>
        <v>280.08800000000002</v>
      </c>
      <c r="JY48" s="184">
        <f t="shared" si="6"/>
        <v>280.08800000000002</v>
      </c>
      <c r="JZ48" s="184">
        <f t="shared" si="6"/>
        <v>280.08800000000002</v>
      </c>
      <c r="KA48" s="184">
        <f t="shared" si="6"/>
        <v>280.08800000000002</v>
      </c>
      <c r="KB48" s="184">
        <f t="shared" si="6"/>
        <v>281.03000000000003</v>
      </c>
      <c r="KC48" s="184">
        <f t="shared" si="6"/>
        <v>281.65800000000002</v>
      </c>
      <c r="KD48" s="184">
        <f t="shared" si="6"/>
        <v>286.36799999999999</v>
      </c>
      <c r="KE48" s="184">
        <f t="shared" si="6"/>
        <v>286.36799999999999</v>
      </c>
      <c r="KF48" s="184">
        <f t="shared" si="6"/>
        <v>286.36799999999999</v>
      </c>
      <c r="KG48" s="184">
        <f t="shared" si="6"/>
        <v>286.36799999999999</v>
      </c>
      <c r="KH48" s="184">
        <f t="shared" si="6"/>
        <v>286.36799999999999</v>
      </c>
      <c r="KI48" s="184">
        <f t="shared" si="6"/>
        <v>286.36799999999999</v>
      </c>
      <c r="KJ48" s="184">
        <f t="shared" si="6"/>
        <v>286.36799999999999</v>
      </c>
      <c r="KK48" s="184">
        <f t="shared" si="6"/>
        <v>286.36799999999999</v>
      </c>
      <c r="KL48" s="184">
        <f t="shared" si="6"/>
        <v>286.36799999999999</v>
      </c>
      <c r="KM48" s="184">
        <f t="shared" si="6"/>
        <v>286.36799999999999</v>
      </c>
      <c r="KN48" s="184">
        <f t="shared" si="6"/>
        <v>286.36799999999999</v>
      </c>
      <c r="KO48" s="184">
        <f t="shared" si="6"/>
        <v>286.36799999999999</v>
      </c>
      <c r="KP48" s="184">
        <f t="shared" si="6"/>
        <v>286.36799999999999</v>
      </c>
      <c r="KQ48" s="184">
        <f t="shared" si="6"/>
        <v>286.36799999999999</v>
      </c>
      <c r="KR48" s="184">
        <f t="shared" si="6"/>
        <v>286.36799999999999</v>
      </c>
      <c r="KS48" s="184">
        <f t="shared" si="6"/>
        <v>287.62400000000002</v>
      </c>
      <c r="KT48" s="184">
        <f t="shared" si="6"/>
        <v>287.62400000000002</v>
      </c>
      <c r="KU48" s="184">
        <f t="shared" si="6"/>
        <v>287.62400000000002</v>
      </c>
      <c r="KV48" s="184">
        <f t="shared" si="6"/>
        <v>292.334</v>
      </c>
      <c r="KW48" s="184">
        <f t="shared" si="6"/>
        <v>294.21800000000002</v>
      </c>
      <c r="KX48" s="184">
        <f t="shared" si="6"/>
        <v>294.21800000000002</v>
      </c>
      <c r="KY48" s="184">
        <f t="shared" si="6"/>
        <v>297.358</v>
      </c>
      <c r="KZ48" s="184">
        <f t="shared" si="6"/>
        <v>297.358</v>
      </c>
      <c r="LA48" s="184">
        <f t="shared" si="6"/>
        <v>299.87</v>
      </c>
      <c r="LB48" s="184">
        <f t="shared" si="6"/>
        <v>306.464</v>
      </c>
      <c r="LC48" s="184">
        <f t="shared" si="6"/>
        <v>306.464</v>
      </c>
      <c r="LD48" s="184">
        <f t="shared" si="6"/>
        <v>306.464</v>
      </c>
      <c r="LE48" s="184">
        <f t="shared" si="6"/>
        <v>306.464</v>
      </c>
      <c r="LF48" s="184">
        <f t="shared" si="6"/>
        <v>306.464</v>
      </c>
      <c r="LG48" s="184">
        <f t="shared" si="6"/>
        <v>306.464</v>
      </c>
      <c r="LH48" s="184">
        <f t="shared" si="6"/>
        <v>306.464</v>
      </c>
      <c r="LI48" s="184">
        <f t="shared" si="6"/>
        <v>306.464</v>
      </c>
      <c r="LJ48" s="184">
        <f t="shared" si="6"/>
        <v>306.464</v>
      </c>
      <c r="LK48" s="184">
        <f t="shared" si="6"/>
        <v>306.464</v>
      </c>
      <c r="LL48" s="184">
        <f t="shared" si="6"/>
        <v>306.464</v>
      </c>
      <c r="LM48" s="184">
        <f t="shared" si="6"/>
        <v>306.464</v>
      </c>
      <c r="LN48" s="184">
        <f>LN47*0.314</f>
        <v>306.464</v>
      </c>
      <c r="LO48" s="184">
        <f>LO47*0.314</f>
        <v>306.464</v>
      </c>
      <c r="LP48" s="184">
        <f>LP47*0.314</f>
        <v>306.464</v>
      </c>
      <c r="LQ48" s="184">
        <f>LQ47*0.314</f>
        <v>306.464</v>
      </c>
      <c r="LR48" s="184">
        <f>LR47*0.314</f>
        <v>306.464</v>
      </c>
      <c r="LS48" s="184">
        <f>LS47*0.258</f>
        <v>261.61200000000002</v>
      </c>
      <c r="LT48" s="184">
        <f>LT47*0.258</f>
        <v>261.61200000000002</v>
      </c>
      <c r="LU48" s="184">
        <f t="shared" ref="LU48:MA48" si="7">LU47*0.238</f>
        <v>247.28199999999998</v>
      </c>
      <c r="LV48" s="184">
        <f t="shared" si="7"/>
        <v>247.28199999999998</v>
      </c>
      <c r="LW48" s="184">
        <f t="shared" si="7"/>
        <v>247.28199999999998</v>
      </c>
      <c r="LX48" s="184">
        <f t="shared" si="7"/>
        <v>247.28199999999998</v>
      </c>
      <c r="LY48" s="184">
        <f t="shared" si="7"/>
        <v>251.08999999999997</v>
      </c>
      <c r="LZ48" s="184">
        <f t="shared" si="7"/>
        <v>252.994</v>
      </c>
      <c r="MA48" s="184">
        <f t="shared" si="7"/>
        <v>252.994</v>
      </c>
      <c r="MB48" s="184">
        <f>MB47*0.258</f>
        <v>275.54399999999998</v>
      </c>
      <c r="MC48" s="184">
        <f>MC47*0.258</f>
        <v>275.54399999999998</v>
      </c>
      <c r="MD48" s="184">
        <f>MD47*0.258</f>
        <v>275.54399999999998</v>
      </c>
      <c r="ME48" s="184">
        <f>ME47*0.258</f>
        <v>275.54399999999998</v>
      </c>
      <c r="MF48" s="184">
        <f>MF47*0.258</f>
        <v>275.54399999999998</v>
      </c>
      <c r="MG48" s="184">
        <f t="shared" ref="MG48:MT48" si="8">MG47*0.238</f>
        <v>256.32599999999996</v>
      </c>
      <c r="MH48" s="184">
        <f t="shared" si="8"/>
        <v>256.32599999999996</v>
      </c>
      <c r="MI48" s="184">
        <f t="shared" si="8"/>
        <v>256.32599999999996</v>
      </c>
      <c r="MJ48" s="184">
        <f t="shared" si="8"/>
        <v>256.32599999999996</v>
      </c>
      <c r="MK48" s="184">
        <f t="shared" si="8"/>
        <v>256.32599999999996</v>
      </c>
      <c r="ML48" s="184">
        <f t="shared" si="8"/>
        <v>261.8</v>
      </c>
      <c r="MM48" s="184">
        <f t="shared" si="8"/>
        <v>261.8</v>
      </c>
      <c r="MN48" s="184">
        <f t="shared" si="8"/>
        <v>261.8</v>
      </c>
      <c r="MO48" s="184">
        <f t="shared" si="8"/>
        <v>261.8</v>
      </c>
      <c r="MP48" s="184">
        <f t="shared" si="8"/>
        <v>261.8</v>
      </c>
      <c r="MQ48" s="184">
        <f t="shared" si="8"/>
        <v>261.8</v>
      </c>
      <c r="MR48" s="184">
        <f t="shared" si="8"/>
        <v>261.8</v>
      </c>
      <c r="MS48" s="184">
        <f t="shared" si="8"/>
        <v>261.8</v>
      </c>
      <c r="MT48" s="184">
        <f t="shared" si="8"/>
        <v>261.8</v>
      </c>
      <c r="MU48" s="184">
        <f>MU47*0.258</f>
        <v>285.60599999999999</v>
      </c>
      <c r="MV48" s="184">
        <f>MV47*0.238</f>
        <v>264.18</v>
      </c>
      <c r="MW48" s="184">
        <f>MW47*0.238</f>
        <v>274.89</v>
      </c>
      <c r="MX48" s="184">
        <f>MX47*0.314</f>
        <v>363.92599999999999</v>
      </c>
      <c r="MY48" s="184">
        <f t="shared" ref="MY48:NX48" si="9">MY47*0.238</f>
        <v>276.08</v>
      </c>
      <c r="MZ48" s="184">
        <f t="shared" si="9"/>
        <v>276.08</v>
      </c>
      <c r="NA48" s="184">
        <f t="shared" si="9"/>
        <v>276.08</v>
      </c>
      <c r="NB48" s="184">
        <f t="shared" si="9"/>
        <v>276.08</v>
      </c>
      <c r="NC48" s="184">
        <f t="shared" si="9"/>
        <v>276.08</v>
      </c>
      <c r="ND48" s="184">
        <f t="shared" si="9"/>
        <v>276.08</v>
      </c>
      <c r="NE48" s="184">
        <f t="shared" si="9"/>
        <v>276.08</v>
      </c>
      <c r="NF48" s="184">
        <f t="shared" si="9"/>
        <v>276.08</v>
      </c>
      <c r="NG48" s="184">
        <f t="shared" si="9"/>
        <v>276.08</v>
      </c>
      <c r="NH48" s="184">
        <f t="shared" si="9"/>
        <v>276.08</v>
      </c>
      <c r="NI48" s="184">
        <f t="shared" si="9"/>
        <v>276.08</v>
      </c>
      <c r="NJ48" s="184">
        <f t="shared" si="9"/>
        <v>276.08</v>
      </c>
      <c r="NK48" s="184">
        <f t="shared" si="9"/>
        <v>276.08</v>
      </c>
      <c r="NL48" s="184">
        <f t="shared" si="9"/>
        <v>276.08</v>
      </c>
      <c r="NM48" s="184">
        <f t="shared" si="9"/>
        <v>276.08</v>
      </c>
      <c r="NN48" s="184">
        <f t="shared" si="9"/>
        <v>278.69799999999998</v>
      </c>
      <c r="NO48" s="184">
        <f t="shared" si="9"/>
        <v>284.17199999999997</v>
      </c>
      <c r="NP48" s="184">
        <f t="shared" si="9"/>
        <v>284.17199999999997</v>
      </c>
      <c r="NQ48" s="184">
        <f t="shared" si="9"/>
        <v>284.17199999999997</v>
      </c>
      <c r="NR48" s="184">
        <f t="shared" si="9"/>
        <v>284.17199999999997</v>
      </c>
      <c r="NS48" s="184">
        <f t="shared" si="9"/>
        <v>284.17199999999997</v>
      </c>
      <c r="NT48" s="184">
        <f t="shared" si="9"/>
        <v>284.17199999999997</v>
      </c>
      <c r="NU48" s="184">
        <f t="shared" si="9"/>
        <v>284.17199999999997</v>
      </c>
      <c r="NV48" s="184">
        <f t="shared" si="9"/>
        <v>284.17199999999997</v>
      </c>
      <c r="NW48" s="184">
        <f t="shared" si="9"/>
        <v>284.17199999999997</v>
      </c>
      <c r="NX48" s="184">
        <f t="shared" si="9"/>
        <v>284.17199999999997</v>
      </c>
      <c r="NY48" s="184">
        <f>NY47*0.258</f>
        <v>309.084</v>
      </c>
      <c r="NZ48" s="184">
        <f>NZ47*0.258</f>
        <v>309.084</v>
      </c>
      <c r="OA48" s="184">
        <f>OA47*0.258</f>
        <v>309.084</v>
      </c>
      <c r="OB48" s="184">
        <f>OB47*0.258</f>
        <v>309.084</v>
      </c>
      <c r="OC48" s="184">
        <f>OC47*0.314</f>
        <v>376.8</v>
      </c>
      <c r="OD48" s="184">
        <f>OD47*0.238</f>
        <v>287.50399999999996</v>
      </c>
      <c r="OE48" s="184">
        <f>OE47*0.258</f>
        <v>312.43799999999999</v>
      </c>
      <c r="OF48" s="184">
        <f>OF47*0.258</f>
        <v>312.43799999999999</v>
      </c>
      <c r="OG48" s="184">
        <f>OG47*0.238</f>
        <v>289.64600000000002</v>
      </c>
      <c r="OH48" s="184">
        <f>OH47*0.258</f>
        <v>314.24400000000003</v>
      </c>
      <c r="OI48" s="184">
        <f t="shared" ref="OI48:OU48" si="10">OI47*0.238</f>
        <v>290.83600000000001</v>
      </c>
      <c r="OJ48" s="184">
        <f t="shared" si="10"/>
        <v>290.83600000000001</v>
      </c>
      <c r="OK48" s="184">
        <f t="shared" si="10"/>
        <v>290.83600000000001</v>
      </c>
      <c r="OL48" s="184">
        <f t="shared" si="10"/>
        <v>290.83600000000001</v>
      </c>
      <c r="OM48" s="184">
        <f t="shared" si="10"/>
        <v>290.83600000000001</v>
      </c>
      <c r="ON48" s="184">
        <f t="shared" si="10"/>
        <v>297.024</v>
      </c>
      <c r="OO48" s="184">
        <f t="shared" si="10"/>
        <v>297.5</v>
      </c>
      <c r="OP48" s="184">
        <f t="shared" si="10"/>
        <v>297.5</v>
      </c>
      <c r="OQ48" s="184">
        <f t="shared" si="10"/>
        <v>301.30799999999999</v>
      </c>
      <c r="OR48" s="184">
        <f t="shared" si="10"/>
        <v>301.30799999999999</v>
      </c>
      <c r="OS48" s="184">
        <f t="shared" si="10"/>
        <v>303.92599999999999</v>
      </c>
      <c r="OT48" s="184">
        <f t="shared" si="10"/>
        <v>303.92599999999999</v>
      </c>
      <c r="OU48" s="184">
        <f t="shared" si="10"/>
        <v>307.49599999999998</v>
      </c>
      <c r="OV48" s="184">
        <f t="shared" ref="OV48:PC48" si="11">OV47*0.258</f>
        <v>333.59399999999999</v>
      </c>
      <c r="OW48" s="184">
        <f t="shared" si="11"/>
        <v>333.59399999999999</v>
      </c>
      <c r="OX48" s="184">
        <f t="shared" si="11"/>
        <v>333.59399999999999</v>
      </c>
      <c r="OY48" s="184">
        <f t="shared" si="11"/>
        <v>333.59399999999999</v>
      </c>
      <c r="OZ48" s="184">
        <f t="shared" si="11"/>
        <v>333.59399999999999</v>
      </c>
      <c r="PA48" s="184">
        <f t="shared" si="11"/>
        <v>333.59399999999999</v>
      </c>
      <c r="PB48" s="184">
        <f t="shared" si="11"/>
        <v>333.59399999999999</v>
      </c>
      <c r="PC48" s="184">
        <f t="shared" si="11"/>
        <v>351.39600000000002</v>
      </c>
      <c r="PD48" s="184">
        <f t="shared" ref="PD48:PL48" si="12">PD47*0.238</f>
        <v>324.15600000000001</v>
      </c>
      <c r="PE48" s="184">
        <f t="shared" si="12"/>
        <v>324.15600000000001</v>
      </c>
      <c r="PF48" s="184">
        <f t="shared" si="12"/>
        <v>324.15600000000001</v>
      </c>
      <c r="PG48" s="184">
        <f t="shared" si="12"/>
        <v>324.15600000000001</v>
      </c>
      <c r="PH48" s="184">
        <f t="shared" si="12"/>
        <v>324.15600000000001</v>
      </c>
      <c r="PI48" s="184">
        <f t="shared" si="12"/>
        <v>330.34399999999999</v>
      </c>
      <c r="PJ48" s="184">
        <f t="shared" si="12"/>
        <v>330.34399999999999</v>
      </c>
      <c r="PK48" s="184">
        <f t="shared" si="12"/>
        <v>330.34399999999999</v>
      </c>
      <c r="PL48" s="184">
        <f t="shared" si="12"/>
        <v>330.34399999999999</v>
      </c>
      <c r="PM48" s="184">
        <f>PM47*0.258</f>
        <v>358.62</v>
      </c>
      <c r="PN48" s="184">
        <f>PN47*0.258</f>
        <v>358.62</v>
      </c>
      <c r="PO48" s="184">
        <f>PO47*0.258</f>
        <v>358.62</v>
      </c>
      <c r="PP48" s="184">
        <f>PP47*0.258</f>
        <v>358.62</v>
      </c>
      <c r="PQ48" s="184">
        <f>PQ47*0.238</f>
        <v>336.77</v>
      </c>
      <c r="PR48" s="184">
        <f>PR47*0.258</f>
        <v>388.80599999999998</v>
      </c>
      <c r="PS48" s="184">
        <f>PS47*0.258</f>
        <v>388.80599999999998</v>
      </c>
      <c r="PT48" s="184">
        <f>PT47*0.238</f>
        <v>367.23399999999998</v>
      </c>
      <c r="PU48" s="184">
        <f>PU47*0.258</f>
        <v>399.38400000000001</v>
      </c>
      <c r="PV48" s="184">
        <f>PV47*0.314</f>
        <v>486.072</v>
      </c>
      <c r="PW48" s="184">
        <f>PW47*0.238</f>
        <v>368.42399999999998</v>
      </c>
      <c r="PX48" s="184">
        <f>PX47*0.238</f>
        <v>368.42399999999998</v>
      </c>
      <c r="PY48" s="184">
        <f>PY47*0.258</f>
        <v>404.80200000000002</v>
      </c>
      <c r="PZ48" s="184">
        <f>PZ47*0.258</f>
        <v>409.70400000000001</v>
      </c>
      <c r="QA48" s="184">
        <f>QA47*0.258</f>
        <v>409.70400000000001</v>
      </c>
      <c r="QB48" s="184">
        <f>QB47*0.238</f>
        <v>380.56199999999995</v>
      </c>
      <c r="QC48" s="184">
        <f>QC47*0.238</f>
        <v>380.56199999999995</v>
      </c>
      <c r="QD48" s="184">
        <f>QD47*0.238</f>
        <v>380.56199999999995</v>
      </c>
      <c r="QE48" s="184">
        <f>QE47*0.238</f>
        <v>380.56199999999995</v>
      </c>
      <c r="QF48" s="184">
        <f t="shared" ref="QF48:QK48" si="13">QF47*0.258</f>
        <v>412.54200000000003</v>
      </c>
      <c r="QG48" s="184">
        <f t="shared" si="13"/>
        <v>416.67</v>
      </c>
      <c r="QH48" s="184">
        <f t="shared" si="13"/>
        <v>422.60399999999998</v>
      </c>
      <c r="QI48" s="184">
        <f t="shared" si="13"/>
        <v>422.60399999999998</v>
      </c>
      <c r="QJ48" s="184">
        <f t="shared" si="13"/>
        <v>422.60399999999998</v>
      </c>
      <c r="QK48" s="184">
        <f t="shared" si="13"/>
        <v>422.60399999999998</v>
      </c>
      <c r="QL48" s="184">
        <f>QL47*0.238</f>
        <v>397.69799999999998</v>
      </c>
      <c r="QM48" s="184">
        <f>QM47*0.238</f>
        <v>411.97800000000001</v>
      </c>
      <c r="QN48" s="184">
        <f>QN47*0.238</f>
        <v>411.97800000000001</v>
      </c>
      <c r="QO48" s="184">
        <f>QO47*0.238</f>
        <v>411.97800000000001</v>
      </c>
      <c r="QP48" s="184">
        <f>QP47*0.258</f>
        <v>450.98400000000004</v>
      </c>
      <c r="QQ48" s="184">
        <f>QQ47*0.258</f>
        <v>450.98400000000004</v>
      </c>
      <c r="QR48" s="184">
        <f t="shared" ref="QR48:RJ48" si="14">QR47*0.238</f>
        <v>416.024</v>
      </c>
      <c r="QS48" s="184">
        <f t="shared" si="14"/>
        <v>416.024</v>
      </c>
      <c r="QT48" s="184">
        <f t="shared" si="14"/>
        <v>447.202</v>
      </c>
      <c r="QU48" s="184">
        <f t="shared" si="14"/>
        <v>447.44</v>
      </c>
      <c r="QV48" s="184">
        <f t="shared" si="14"/>
        <v>447.44</v>
      </c>
      <c r="QW48" s="184">
        <f t="shared" si="14"/>
        <v>447.44</v>
      </c>
      <c r="QX48" s="184">
        <f t="shared" si="14"/>
        <v>447.44</v>
      </c>
      <c r="QY48" s="184">
        <f t="shared" si="14"/>
        <v>447.44</v>
      </c>
      <c r="QZ48" s="184">
        <f t="shared" si="14"/>
        <v>447.44</v>
      </c>
      <c r="RA48" s="184">
        <f t="shared" si="14"/>
        <v>447.44</v>
      </c>
      <c r="RB48" s="184">
        <f t="shared" si="14"/>
        <v>447.44</v>
      </c>
      <c r="RC48" s="184">
        <f t="shared" si="14"/>
        <v>447.44</v>
      </c>
      <c r="RD48" s="184">
        <f t="shared" si="14"/>
        <v>454.10399999999998</v>
      </c>
      <c r="RE48" s="184">
        <f t="shared" si="14"/>
        <v>454.81799999999998</v>
      </c>
      <c r="RF48" s="184">
        <f t="shared" si="14"/>
        <v>454.81799999999998</v>
      </c>
      <c r="RG48" s="184">
        <f t="shared" si="14"/>
        <v>456.96</v>
      </c>
      <c r="RH48" s="184">
        <f t="shared" si="14"/>
        <v>456.96</v>
      </c>
      <c r="RI48" s="184">
        <f t="shared" si="14"/>
        <v>474.096</v>
      </c>
      <c r="RJ48" s="184">
        <f t="shared" si="14"/>
        <v>474.096</v>
      </c>
      <c r="RK48" s="184">
        <f t="shared" ref="RK48:SW48" si="15">RK47*0.209</f>
        <v>421.13499999999999</v>
      </c>
      <c r="RL48" s="184">
        <f t="shared" si="15"/>
        <v>421.13499999999999</v>
      </c>
      <c r="RM48" s="184">
        <f t="shared" si="15"/>
        <v>421.13499999999999</v>
      </c>
      <c r="RN48" s="184">
        <f t="shared" si="15"/>
        <v>441.82599999999996</v>
      </c>
      <c r="RO48" s="184">
        <f t="shared" si="15"/>
        <v>441.82599999999996</v>
      </c>
      <c r="RP48" s="184">
        <f t="shared" si="15"/>
        <v>441.82599999999996</v>
      </c>
      <c r="RQ48" s="184">
        <f t="shared" si="15"/>
        <v>441.82599999999996</v>
      </c>
      <c r="RR48" s="184">
        <f t="shared" si="15"/>
        <v>441.82599999999996</v>
      </c>
      <c r="RS48" s="184">
        <f t="shared" si="15"/>
        <v>441.82599999999996</v>
      </c>
      <c r="RT48" s="184">
        <f t="shared" si="15"/>
        <v>441.82599999999996</v>
      </c>
      <c r="RU48" s="184">
        <f t="shared" si="15"/>
        <v>441.82599999999996</v>
      </c>
      <c r="RV48" s="184">
        <f t="shared" si="15"/>
        <v>441.82599999999996</v>
      </c>
      <c r="RW48" s="184">
        <f t="shared" si="15"/>
        <v>441.82599999999996</v>
      </c>
      <c r="RX48" s="184">
        <f t="shared" si="15"/>
        <v>441.82599999999996</v>
      </c>
      <c r="RY48" s="184">
        <f t="shared" si="15"/>
        <v>441.82599999999996</v>
      </c>
      <c r="RZ48" s="184">
        <f t="shared" si="15"/>
        <v>441.82599999999996</v>
      </c>
      <c r="SA48" s="184">
        <f t="shared" si="15"/>
        <v>441.82599999999996</v>
      </c>
      <c r="SB48" s="184">
        <f t="shared" si="15"/>
        <v>445.16999999999996</v>
      </c>
      <c r="SC48" s="184">
        <f t="shared" si="15"/>
        <v>445.16999999999996</v>
      </c>
      <c r="SD48" s="184">
        <f t="shared" si="15"/>
        <v>445.16999999999996</v>
      </c>
      <c r="SE48" s="184">
        <f t="shared" si="15"/>
        <v>445.16999999999996</v>
      </c>
      <c r="SF48" s="184">
        <f t="shared" si="15"/>
        <v>445.16999999999996</v>
      </c>
      <c r="SG48" s="184">
        <f t="shared" si="15"/>
        <v>449.34999999999997</v>
      </c>
      <c r="SH48" s="184">
        <f t="shared" si="15"/>
        <v>485.50700000000001</v>
      </c>
      <c r="SI48" s="184">
        <f t="shared" si="15"/>
        <v>491.15</v>
      </c>
      <c r="SJ48" s="184">
        <f t="shared" si="15"/>
        <v>491.15</v>
      </c>
      <c r="SK48" s="184">
        <f t="shared" si="15"/>
        <v>528.56099999999992</v>
      </c>
      <c r="SL48" s="184">
        <f t="shared" si="15"/>
        <v>528.56099999999992</v>
      </c>
      <c r="SM48" s="184">
        <f t="shared" si="15"/>
        <v>528.56099999999992</v>
      </c>
      <c r="SN48" s="184">
        <f t="shared" si="15"/>
        <v>564.71799999999996</v>
      </c>
      <c r="SO48" s="184">
        <f t="shared" si="15"/>
        <v>573.07799999999997</v>
      </c>
      <c r="SP48" s="184">
        <f t="shared" si="15"/>
        <v>607.77199999999993</v>
      </c>
      <c r="SQ48" s="184">
        <f t="shared" si="15"/>
        <v>607.77199999999993</v>
      </c>
      <c r="SR48" s="184">
        <f t="shared" si="15"/>
        <v>607.77199999999993</v>
      </c>
      <c r="SS48" s="184">
        <f t="shared" si="15"/>
        <v>622.61099999999999</v>
      </c>
      <c r="ST48" s="184">
        <f t="shared" si="15"/>
        <v>622.61099999999999</v>
      </c>
      <c r="SU48" s="184">
        <f t="shared" si="15"/>
        <v>622.61099999999999</v>
      </c>
      <c r="SV48" s="184">
        <f t="shared" si="15"/>
        <v>622.61099999999999</v>
      </c>
      <c r="SW48" s="184">
        <f t="shared" si="15"/>
        <v>622.61099999999999</v>
      </c>
      <c r="SX48" s="184">
        <f t="shared" ref="SX48:TJ48" si="16">SX47*0.23</f>
        <v>754.17000000000007</v>
      </c>
      <c r="SY48" s="184">
        <f t="shared" si="16"/>
        <v>810.52</v>
      </c>
      <c r="SZ48" s="184">
        <f t="shared" si="16"/>
        <v>865.26</v>
      </c>
      <c r="TA48" s="184">
        <f t="shared" si="16"/>
        <v>865.26</v>
      </c>
      <c r="TB48" s="184">
        <f t="shared" si="16"/>
        <v>865.26</v>
      </c>
      <c r="TC48" s="184">
        <f t="shared" si="16"/>
        <v>888.95</v>
      </c>
      <c r="TD48" s="184">
        <f t="shared" si="16"/>
        <v>888.95</v>
      </c>
      <c r="TE48" s="184">
        <f t="shared" si="16"/>
        <v>888.95</v>
      </c>
      <c r="TF48" s="184">
        <f t="shared" si="16"/>
        <v>888.95</v>
      </c>
      <c r="TG48" s="184">
        <f t="shared" si="16"/>
        <v>888.95</v>
      </c>
      <c r="TH48" s="184">
        <f t="shared" si="16"/>
        <v>888.95</v>
      </c>
      <c r="TI48" s="184">
        <f t="shared" si="16"/>
        <v>888.95</v>
      </c>
      <c r="TJ48" s="184">
        <f t="shared" si="16"/>
        <v>888.95</v>
      </c>
      <c r="TK48" s="184">
        <f>TK47*0.307</f>
        <v>1238.4379999999999</v>
      </c>
      <c r="TL48" s="184">
        <f>TL47*0.307</f>
        <v>1263.3050000000001</v>
      </c>
      <c r="TM48" s="184">
        <f>TM47*0.307</f>
        <v>1263.3050000000001</v>
      </c>
      <c r="TN48" s="184">
        <f>TN47*0.307</f>
        <v>1305.364</v>
      </c>
      <c r="TO48" s="184">
        <f>TO47*0.314</f>
        <v>1828.7360000000001</v>
      </c>
      <c r="TP48" s="184">
        <f>TP47*0.314</f>
        <v>1828.7360000000001</v>
      </c>
      <c r="TQ48" s="184">
        <f>TQ47*0.314</f>
        <v>1828.7360000000001</v>
      </c>
      <c r="TR48" s="184">
        <f t="shared" ref="TR48:TX48" si="17">TR47*0.223</f>
        <v>1301.4280000000001</v>
      </c>
      <c r="TS48" s="184">
        <f t="shared" si="17"/>
        <v>1301.4280000000001</v>
      </c>
      <c r="TT48" s="184">
        <f t="shared" si="17"/>
        <v>1301.4280000000001</v>
      </c>
      <c r="TU48" s="184">
        <f t="shared" si="17"/>
        <v>1301.4280000000001</v>
      </c>
      <c r="TV48" s="184">
        <f t="shared" si="17"/>
        <v>1301.4280000000001</v>
      </c>
      <c r="TW48" s="184">
        <f t="shared" si="17"/>
        <v>1301.4280000000001</v>
      </c>
      <c r="TX48" s="184">
        <f t="shared" si="17"/>
        <v>1302.7660000000001</v>
      </c>
      <c r="TY48" s="184">
        <f t="shared" ref="TY48:UF48" si="18">TY47*0.209</f>
        <v>1277.4079999999999</v>
      </c>
      <c r="TZ48" s="184">
        <f t="shared" si="18"/>
        <v>1277.4079999999999</v>
      </c>
      <c r="UA48" s="184">
        <f t="shared" si="18"/>
        <v>1277.4079999999999</v>
      </c>
      <c r="UB48" s="184">
        <f t="shared" si="18"/>
        <v>1277.4079999999999</v>
      </c>
      <c r="UC48" s="184">
        <f t="shared" si="18"/>
        <v>1307.922</v>
      </c>
      <c r="UD48" s="184">
        <f t="shared" si="18"/>
        <v>1311.684</v>
      </c>
      <c r="UE48" s="184">
        <f t="shared" si="18"/>
        <v>1323.597</v>
      </c>
      <c r="UF48" s="184">
        <f t="shared" si="18"/>
        <v>1323.597</v>
      </c>
      <c r="UG48" s="184">
        <f>UG47*0.314</f>
        <v>2013.0540000000001</v>
      </c>
      <c r="UH48" s="184">
        <f t="shared" ref="UH48:VR48" si="19">UH47*0.209</f>
        <v>1353.4839999999999</v>
      </c>
      <c r="UI48" s="184">
        <f t="shared" si="19"/>
        <v>1353.4839999999999</v>
      </c>
      <c r="UJ48" s="184">
        <f t="shared" si="19"/>
        <v>1353.4839999999999</v>
      </c>
      <c r="UK48" s="184">
        <f t="shared" si="19"/>
        <v>1353.4839999999999</v>
      </c>
      <c r="UL48" s="184">
        <f t="shared" si="19"/>
        <v>1353.4839999999999</v>
      </c>
      <c r="UM48" s="184">
        <f t="shared" si="19"/>
        <v>1353.4839999999999</v>
      </c>
      <c r="UN48" s="184">
        <f t="shared" si="19"/>
        <v>1353.4839999999999</v>
      </c>
      <c r="UO48" s="184">
        <f t="shared" si="19"/>
        <v>1353.4839999999999</v>
      </c>
      <c r="UP48" s="184">
        <f t="shared" si="19"/>
        <v>1353.4839999999999</v>
      </c>
      <c r="UQ48" s="184">
        <f t="shared" si="19"/>
        <v>1372.712</v>
      </c>
      <c r="UR48" s="184">
        <f t="shared" si="19"/>
        <v>1385.0429999999999</v>
      </c>
      <c r="US48" s="184">
        <f t="shared" si="19"/>
        <v>1392.9849999999999</v>
      </c>
      <c r="UT48" s="184">
        <f t="shared" si="19"/>
        <v>1460.9099999999999</v>
      </c>
      <c r="UU48" s="184">
        <f t="shared" si="19"/>
        <v>1460.9099999999999</v>
      </c>
      <c r="UV48" s="184">
        <f t="shared" si="19"/>
        <v>1461.1189999999999</v>
      </c>
      <c r="UW48" s="184">
        <f t="shared" si="19"/>
        <v>1462.164</v>
      </c>
      <c r="UX48" s="184">
        <f t="shared" si="19"/>
        <v>1462.164</v>
      </c>
      <c r="UY48" s="184">
        <f t="shared" si="19"/>
        <v>1462.164</v>
      </c>
      <c r="UZ48" s="184">
        <f t="shared" si="19"/>
        <v>1462.164</v>
      </c>
      <c r="VA48" s="184">
        <f t="shared" si="19"/>
        <v>1462.164</v>
      </c>
      <c r="VB48" s="184">
        <f t="shared" si="19"/>
        <v>1462.164</v>
      </c>
      <c r="VC48" s="184">
        <f t="shared" si="19"/>
        <v>1462.164</v>
      </c>
      <c r="VD48" s="184">
        <f t="shared" si="19"/>
        <v>1462.164</v>
      </c>
      <c r="VE48" s="184">
        <f t="shared" si="19"/>
        <v>1462.164</v>
      </c>
      <c r="VF48" s="184">
        <f t="shared" si="19"/>
        <v>1462.164</v>
      </c>
      <c r="VG48" s="184">
        <f t="shared" si="19"/>
        <v>1471.1509999999998</v>
      </c>
      <c r="VH48" s="184">
        <f t="shared" si="19"/>
        <v>1487.453</v>
      </c>
      <c r="VI48" s="184">
        <f t="shared" si="19"/>
        <v>1490.1699999999998</v>
      </c>
      <c r="VJ48" s="184">
        <f t="shared" si="19"/>
        <v>1498.53</v>
      </c>
      <c r="VK48" s="184">
        <f t="shared" si="19"/>
        <v>1498.53</v>
      </c>
      <c r="VL48" s="184">
        <f t="shared" si="19"/>
        <v>1503.337</v>
      </c>
      <c r="VM48" s="184">
        <f t="shared" si="19"/>
        <v>1535.5229999999999</v>
      </c>
      <c r="VN48" s="184">
        <f t="shared" si="19"/>
        <v>1535.5229999999999</v>
      </c>
      <c r="VO48" s="184">
        <f t="shared" si="19"/>
        <v>1551.4069999999999</v>
      </c>
      <c r="VP48" s="184">
        <f t="shared" si="19"/>
        <v>1563.9469999999999</v>
      </c>
      <c r="VQ48" s="184">
        <f t="shared" si="19"/>
        <v>1563.9469999999999</v>
      </c>
      <c r="VR48" s="184">
        <f t="shared" si="19"/>
        <v>1570.008</v>
      </c>
      <c r="VS48" s="184">
        <f t="shared" ref="VS48:XJ48" si="20">VS47*0.23</f>
        <v>1842.53</v>
      </c>
      <c r="VT48" s="184">
        <f t="shared" si="20"/>
        <v>1873.1200000000001</v>
      </c>
      <c r="VU48" s="184">
        <f t="shared" si="20"/>
        <v>1873.1200000000001</v>
      </c>
      <c r="VV48" s="184">
        <f t="shared" si="20"/>
        <v>1873.1200000000001</v>
      </c>
      <c r="VW48" s="184">
        <f t="shared" si="20"/>
        <v>1873.1200000000001</v>
      </c>
      <c r="VX48" s="184">
        <f t="shared" si="20"/>
        <v>1873.1200000000001</v>
      </c>
      <c r="VY48" s="184">
        <f t="shared" si="20"/>
        <v>1873.1200000000001</v>
      </c>
      <c r="VZ48" s="184">
        <f t="shared" si="20"/>
        <v>1873.1200000000001</v>
      </c>
      <c r="WA48" s="184">
        <f t="shared" si="20"/>
        <v>1873.1200000000001</v>
      </c>
      <c r="WB48" s="184">
        <f t="shared" si="20"/>
        <v>1890.14</v>
      </c>
      <c r="WC48" s="184">
        <f t="shared" si="20"/>
        <v>1892.21</v>
      </c>
      <c r="WD48" s="184">
        <f t="shared" si="20"/>
        <v>1892.21</v>
      </c>
      <c r="WE48" s="184">
        <f t="shared" si="20"/>
        <v>1898.65</v>
      </c>
      <c r="WF48" s="184">
        <f t="shared" si="20"/>
        <v>1898.65</v>
      </c>
      <c r="WG48" s="184">
        <f t="shared" si="20"/>
        <v>1912.45</v>
      </c>
      <c r="WH48" s="184">
        <f t="shared" si="20"/>
        <v>1912.45</v>
      </c>
      <c r="WI48" s="184">
        <f t="shared" si="20"/>
        <v>1912.45</v>
      </c>
      <c r="WJ48" s="184">
        <f t="shared" si="20"/>
        <v>1912.45</v>
      </c>
      <c r="WK48" s="184">
        <f t="shared" si="20"/>
        <v>1912.45</v>
      </c>
      <c r="WL48" s="184">
        <f t="shared" si="20"/>
        <v>1912.45</v>
      </c>
      <c r="WM48" s="184">
        <f t="shared" si="20"/>
        <v>1912.45</v>
      </c>
      <c r="WN48" s="184">
        <f t="shared" si="20"/>
        <v>1912.45</v>
      </c>
      <c r="WO48" s="184">
        <f t="shared" si="20"/>
        <v>1912.45</v>
      </c>
      <c r="WP48" s="184">
        <f t="shared" si="20"/>
        <v>1912.45</v>
      </c>
      <c r="WQ48" s="184">
        <f t="shared" si="20"/>
        <v>1912.45</v>
      </c>
      <c r="WR48" s="184">
        <f t="shared" si="20"/>
        <v>1912.45</v>
      </c>
      <c r="WS48" s="184">
        <f t="shared" si="20"/>
        <v>1912.45</v>
      </c>
      <c r="WT48" s="184">
        <f t="shared" si="20"/>
        <v>1912.45</v>
      </c>
      <c r="WU48" s="184">
        <f t="shared" si="20"/>
        <v>1940.51</v>
      </c>
      <c r="WV48" s="184">
        <f t="shared" si="20"/>
        <v>1940.51</v>
      </c>
      <c r="WW48" s="184">
        <f t="shared" si="20"/>
        <v>1955.69</v>
      </c>
      <c r="WX48" s="184">
        <f t="shared" si="20"/>
        <v>1962.13</v>
      </c>
      <c r="WY48" s="184">
        <f t="shared" si="20"/>
        <v>1985.5900000000001</v>
      </c>
      <c r="WZ48" s="184">
        <f t="shared" si="20"/>
        <v>2018.94</v>
      </c>
      <c r="XA48" s="184">
        <f t="shared" si="20"/>
        <v>2020.0900000000001</v>
      </c>
      <c r="XB48" s="184">
        <f t="shared" si="20"/>
        <v>2020.0900000000001</v>
      </c>
      <c r="XC48" s="184">
        <f t="shared" si="20"/>
        <v>2020.0900000000001</v>
      </c>
      <c r="XD48" s="184">
        <f t="shared" si="20"/>
        <v>2020.0900000000001</v>
      </c>
      <c r="XE48" s="184">
        <f t="shared" si="20"/>
        <v>2020.0900000000001</v>
      </c>
      <c r="XF48" s="184">
        <f t="shared" si="20"/>
        <v>2020.0900000000001</v>
      </c>
      <c r="XG48" s="184">
        <f t="shared" si="20"/>
        <v>2020.0900000000001</v>
      </c>
      <c r="XH48" s="184">
        <f t="shared" si="20"/>
        <v>2020.0900000000001</v>
      </c>
      <c r="XI48" s="184">
        <f t="shared" si="20"/>
        <v>2020.0900000000001</v>
      </c>
      <c r="XJ48" s="184">
        <f t="shared" si="20"/>
        <v>2069.31</v>
      </c>
      <c r="XK48" s="184">
        <f t="shared" ref="XK48:YJ48" si="21">XK47*0.223</f>
        <v>2021.4950000000001</v>
      </c>
      <c r="XL48" s="184">
        <f t="shared" si="21"/>
        <v>2021.4950000000001</v>
      </c>
      <c r="XM48" s="184">
        <f t="shared" si="21"/>
        <v>2028.854</v>
      </c>
      <c r="XN48" s="184">
        <f t="shared" si="21"/>
        <v>2028.854</v>
      </c>
      <c r="XO48" s="184">
        <f t="shared" si="21"/>
        <v>2028.854</v>
      </c>
      <c r="XP48" s="184">
        <f t="shared" si="21"/>
        <v>2030.415</v>
      </c>
      <c r="XQ48" s="184">
        <f t="shared" si="21"/>
        <v>2030.415</v>
      </c>
      <c r="XR48" s="184">
        <f t="shared" si="21"/>
        <v>2030.415</v>
      </c>
      <c r="XS48" s="184">
        <f t="shared" si="21"/>
        <v>2030.415</v>
      </c>
      <c r="XT48" s="184">
        <f t="shared" si="21"/>
        <v>2051.377</v>
      </c>
      <c r="XU48" s="184">
        <f t="shared" si="21"/>
        <v>2066.0950000000003</v>
      </c>
      <c r="XV48" s="184">
        <f t="shared" si="21"/>
        <v>2084.1579999999999</v>
      </c>
      <c r="XW48" s="184">
        <f t="shared" si="21"/>
        <v>2084.1579999999999</v>
      </c>
      <c r="XX48" s="184">
        <f t="shared" si="21"/>
        <v>2084.1579999999999</v>
      </c>
      <c r="XY48" s="184">
        <f t="shared" si="21"/>
        <v>2084.1579999999999</v>
      </c>
      <c r="XZ48" s="184">
        <f t="shared" si="21"/>
        <v>2084.1579999999999</v>
      </c>
      <c r="YA48" s="184">
        <f t="shared" si="21"/>
        <v>2084.1579999999999</v>
      </c>
      <c r="YB48" s="184">
        <f t="shared" si="21"/>
        <v>2084.1579999999999</v>
      </c>
      <c r="YC48" s="184">
        <f t="shared" si="21"/>
        <v>2084.1579999999999</v>
      </c>
      <c r="YD48" s="184">
        <f t="shared" si="21"/>
        <v>2088.8409999999999</v>
      </c>
      <c r="YE48" s="184">
        <f t="shared" si="21"/>
        <v>2088.8409999999999</v>
      </c>
      <c r="YF48" s="184">
        <f t="shared" si="21"/>
        <v>2098.8760000000002</v>
      </c>
      <c r="YG48" s="184">
        <f t="shared" si="21"/>
        <v>2098.8760000000002</v>
      </c>
      <c r="YH48" s="184">
        <f t="shared" si="21"/>
        <v>2110.4720000000002</v>
      </c>
      <c r="YI48" s="184">
        <f t="shared" si="21"/>
        <v>2110.9180000000001</v>
      </c>
      <c r="YJ48" s="184">
        <f t="shared" si="21"/>
        <v>2123.8519999999999</v>
      </c>
      <c r="YK48" s="184">
        <f>YK47*0.233</f>
        <v>2240.5280000000002</v>
      </c>
      <c r="YL48" s="184">
        <f t="shared" ref="YL48:ZC48" si="22">YL47*0.223</f>
        <v>2147.0439999999999</v>
      </c>
      <c r="YM48" s="184">
        <f t="shared" si="22"/>
        <v>2147.0439999999999</v>
      </c>
      <c r="YN48" s="184">
        <f t="shared" si="22"/>
        <v>2147.0439999999999</v>
      </c>
      <c r="YO48" s="184">
        <f t="shared" si="22"/>
        <v>2169.567</v>
      </c>
      <c r="YP48" s="184">
        <f t="shared" si="22"/>
        <v>2204.355</v>
      </c>
      <c r="YQ48" s="184">
        <f t="shared" si="22"/>
        <v>2209.7069999999999</v>
      </c>
      <c r="YR48" s="184">
        <f t="shared" si="22"/>
        <v>2209.7069999999999</v>
      </c>
      <c r="YS48" s="184">
        <f t="shared" si="22"/>
        <v>2209.7069999999999</v>
      </c>
      <c r="YT48" s="184">
        <f t="shared" si="22"/>
        <v>2307.8270000000002</v>
      </c>
      <c r="YU48" s="184">
        <f t="shared" si="22"/>
        <v>2307.8270000000002</v>
      </c>
      <c r="YV48" s="184">
        <f t="shared" si="22"/>
        <v>2307.8270000000002</v>
      </c>
      <c r="YW48" s="184">
        <f t="shared" si="22"/>
        <v>2307.8270000000002</v>
      </c>
      <c r="YX48" s="184">
        <f t="shared" si="22"/>
        <v>2307.8270000000002</v>
      </c>
      <c r="YY48" s="184">
        <f t="shared" si="22"/>
        <v>2307.8270000000002</v>
      </c>
      <c r="YZ48" s="184">
        <f t="shared" si="22"/>
        <v>2364.915</v>
      </c>
      <c r="ZA48" s="184">
        <f t="shared" si="22"/>
        <v>2379.6330000000003</v>
      </c>
      <c r="ZB48" s="184">
        <f t="shared" si="22"/>
        <v>3131.8119999999999</v>
      </c>
      <c r="ZC48" s="184">
        <f t="shared" si="22"/>
        <v>3131.8119999999999</v>
      </c>
      <c r="ZL48" s="182" t="str">
        <f t="shared" si="1"/>
        <v>BRUXELLES -LYON</v>
      </c>
      <c r="ZM48" s="183" t="s">
        <v>537</v>
      </c>
      <c r="ZN48" s="182" t="s">
        <v>517</v>
      </c>
      <c r="ZO48" s="182">
        <v>567</v>
      </c>
      <c r="ZP48" s="198">
        <v>178.03800000000001</v>
      </c>
      <c r="ZQ48" s="193"/>
      <c r="ZR48" s="193"/>
      <c r="ZS48" s="193"/>
      <c r="ZT48" s="193"/>
    </row>
    <row r="49" spans="1:696" ht="28.8">
      <c r="D49" s="735"/>
      <c r="E49" s="195" t="s">
        <v>713</v>
      </c>
      <c r="F49" s="195">
        <f>SUM(F48:ZC48)*0.001</f>
        <v>408.5008040000003</v>
      </c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R49" s="92"/>
      <c r="IS49" s="92"/>
      <c r="IT49" s="92"/>
      <c r="IU49" s="92"/>
      <c r="IV49" s="92"/>
      <c r="IW49" s="92"/>
      <c r="IX49" s="92"/>
      <c r="IY49" s="92"/>
      <c r="IZ49" s="92"/>
      <c r="JA49" s="92"/>
      <c r="JB49" s="92"/>
      <c r="JC49" s="92"/>
      <c r="JD49" s="92"/>
      <c r="JE49" s="92"/>
      <c r="JF49" s="92"/>
      <c r="JG49" s="92"/>
      <c r="JH49" s="92"/>
      <c r="JI49" s="92"/>
      <c r="JJ49" s="92"/>
      <c r="JK49" s="92"/>
      <c r="JL49" s="92"/>
      <c r="JM49" s="92"/>
      <c r="JN49" s="92"/>
      <c r="JO49" s="92"/>
      <c r="JP49" s="92"/>
      <c r="JQ49" s="92"/>
      <c r="JR49" s="92"/>
      <c r="JS49" s="92"/>
      <c r="JT49" s="92"/>
      <c r="JU49" s="92"/>
      <c r="JV49" s="92"/>
      <c r="JW49" s="92"/>
      <c r="JX49" s="92"/>
      <c r="JY49" s="92"/>
      <c r="JZ49" s="92"/>
      <c r="KA49" s="92"/>
      <c r="KB49" s="92"/>
      <c r="KC49" s="92"/>
      <c r="KD49" s="92"/>
      <c r="KE49" s="92"/>
      <c r="KF49" s="92"/>
      <c r="KG49" s="92"/>
      <c r="KH49" s="92"/>
      <c r="KI49" s="92"/>
      <c r="KJ49" s="92"/>
      <c r="KK49" s="92"/>
      <c r="KL49" s="92"/>
      <c r="KM49" s="92"/>
      <c r="KN49" s="92"/>
      <c r="KO49" s="92"/>
      <c r="KP49" s="92"/>
      <c r="KQ49" s="92"/>
      <c r="KR49" s="92"/>
      <c r="KS49" s="92"/>
      <c r="KT49" s="92"/>
      <c r="KU49" s="92"/>
      <c r="KV49" s="92"/>
      <c r="KW49" s="92"/>
      <c r="KX49" s="92"/>
      <c r="KY49" s="92"/>
      <c r="KZ49" s="92"/>
      <c r="LA49" s="92"/>
      <c r="LB49" s="92"/>
      <c r="LC49" s="92"/>
      <c r="LD49" s="92"/>
      <c r="LE49" s="92"/>
      <c r="LF49" s="92"/>
      <c r="LG49" s="92"/>
      <c r="LH49" s="92"/>
      <c r="LI49" s="92"/>
      <c r="LJ49" s="92"/>
      <c r="LK49" s="92"/>
      <c r="LL49" s="92"/>
      <c r="LM49" s="92"/>
      <c r="LN49" s="92"/>
      <c r="LO49" s="92"/>
      <c r="LP49" s="92"/>
      <c r="LQ49" s="92"/>
      <c r="LR49" s="92"/>
      <c r="LS49" s="92"/>
      <c r="LT49" s="92"/>
      <c r="LU49" s="92"/>
      <c r="LV49" s="92"/>
      <c r="LW49" s="92"/>
      <c r="LX49" s="92"/>
      <c r="LY49" s="92"/>
      <c r="LZ49" s="92"/>
      <c r="MA49" s="92"/>
      <c r="MB49" s="92"/>
      <c r="MC49" s="92"/>
      <c r="MD49" s="92"/>
      <c r="ME49" s="92"/>
      <c r="MF49" s="92"/>
      <c r="MG49" s="92"/>
      <c r="MH49" s="92"/>
      <c r="MI49" s="92"/>
      <c r="MJ49" s="92"/>
      <c r="MK49" s="92"/>
      <c r="ML49" s="92"/>
      <c r="MM49" s="92"/>
      <c r="MN49" s="92"/>
      <c r="MO49" s="92"/>
      <c r="MP49" s="92"/>
      <c r="MQ49" s="92"/>
      <c r="MR49" s="92"/>
      <c r="MS49" s="92"/>
      <c r="MT49" s="92"/>
      <c r="MU49" s="92"/>
      <c r="MV49" s="92"/>
      <c r="MW49" s="92"/>
      <c r="MX49" s="92"/>
      <c r="MY49" s="92"/>
      <c r="MZ49" s="92"/>
      <c r="NA49" s="92"/>
      <c r="NB49" s="92"/>
      <c r="NC49" s="92"/>
      <c r="ND49" s="92"/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2"/>
      <c r="NY49" s="92"/>
      <c r="NZ49" s="92"/>
      <c r="OA49" s="92"/>
      <c r="OB49" s="92"/>
      <c r="OC49" s="92"/>
      <c r="OD49" s="92"/>
      <c r="OE49" s="92"/>
      <c r="OF49" s="92"/>
      <c r="OG49" s="92"/>
      <c r="OH49" s="92"/>
      <c r="OI49" s="92"/>
      <c r="OJ49" s="92"/>
      <c r="OK49" s="92"/>
      <c r="OL49" s="92"/>
      <c r="OM49" s="92"/>
      <c r="ON49" s="92"/>
      <c r="OO49" s="92"/>
      <c r="OP49" s="92"/>
      <c r="OQ49" s="92"/>
      <c r="OR49" s="92"/>
      <c r="OS49" s="92"/>
      <c r="OT49" s="92"/>
      <c r="OU49" s="92"/>
      <c r="OV49" s="92"/>
      <c r="OW49" s="92"/>
      <c r="OX49" s="92"/>
      <c r="OY49" s="92"/>
      <c r="OZ49" s="92"/>
      <c r="PA49" s="92"/>
      <c r="PB49" s="92"/>
      <c r="PC49" s="92"/>
      <c r="PD49" s="92"/>
      <c r="PE49" s="92"/>
      <c r="PF49" s="92"/>
      <c r="PG49" s="92"/>
      <c r="PH49" s="92"/>
      <c r="PI49" s="92"/>
      <c r="PJ49" s="92"/>
      <c r="PK49" s="92"/>
      <c r="PL49" s="92"/>
      <c r="PM49" s="92"/>
      <c r="PN49" s="92"/>
      <c r="PO49" s="92"/>
      <c r="PP49" s="92"/>
      <c r="PQ49" s="92"/>
      <c r="PR49" s="92"/>
      <c r="PS49" s="92"/>
      <c r="PT49" s="92"/>
      <c r="PU49" s="92"/>
      <c r="PV49" s="92"/>
      <c r="PW49" s="92"/>
      <c r="PX49" s="92"/>
      <c r="PY49" s="92"/>
      <c r="PZ49" s="92"/>
      <c r="QA49" s="92"/>
      <c r="QB49" s="92"/>
      <c r="QC49" s="92"/>
      <c r="QD49" s="92"/>
      <c r="QE49" s="92"/>
      <c r="QF49" s="92"/>
      <c r="QG49" s="92"/>
      <c r="QH49" s="92"/>
      <c r="QI49" s="92"/>
      <c r="QJ49" s="92"/>
      <c r="QK49" s="92"/>
      <c r="QL49" s="92"/>
      <c r="QM49" s="92"/>
      <c r="QN49" s="92"/>
      <c r="QO49" s="92"/>
      <c r="QP49" s="92"/>
      <c r="QQ49" s="92"/>
      <c r="QR49" s="92"/>
      <c r="QS49" s="92"/>
      <c r="QT49" s="92"/>
      <c r="QU49" s="92"/>
      <c r="QV49" s="92"/>
      <c r="QW49" s="92"/>
      <c r="QX49" s="92"/>
      <c r="QY49" s="92"/>
      <c r="QZ49" s="92"/>
      <c r="RA49" s="92"/>
      <c r="RB49" s="92"/>
      <c r="RC49" s="92"/>
      <c r="RD49" s="92"/>
      <c r="RE49" s="92"/>
      <c r="RF49" s="92"/>
      <c r="RG49" s="92"/>
      <c r="RH49" s="92"/>
      <c r="RI49" s="92"/>
      <c r="RJ49" s="92"/>
      <c r="RK49" s="92"/>
      <c r="RL49" s="92"/>
      <c r="RM49" s="92"/>
      <c r="RN49" s="92"/>
      <c r="RO49" s="92"/>
      <c r="RP49" s="92"/>
      <c r="RQ49" s="92"/>
      <c r="RR49" s="92"/>
      <c r="RS49" s="92"/>
      <c r="RT49" s="92"/>
      <c r="RU49" s="92"/>
      <c r="RV49" s="92"/>
      <c r="RW49" s="92"/>
      <c r="RX49" s="92"/>
      <c r="RY49" s="92"/>
      <c r="RZ49" s="92"/>
      <c r="SA49" s="92"/>
      <c r="SB49" s="92"/>
      <c r="SC49" s="92"/>
      <c r="SD49" s="92"/>
      <c r="SE49" s="92"/>
      <c r="SF49" s="92"/>
      <c r="SG49" s="92"/>
      <c r="SH49" s="92"/>
      <c r="SI49" s="92"/>
      <c r="SJ49" s="92"/>
      <c r="SK49" s="92"/>
      <c r="SL49" s="92"/>
      <c r="SM49" s="92"/>
      <c r="SN49" s="92"/>
      <c r="SO49" s="92"/>
      <c r="SP49" s="92"/>
      <c r="SQ49" s="92"/>
      <c r="SR49" s="92"/>
      <c r="SS49" s="92"/>
      <c r="ST49" s="92"/>
      <c r="SU49" s="92"/>
      <c r="SV49" s="92"/>
      <c r="SW49" s="92"/>
      <c r="SX49" s="92"/>
      <c r="SY49" s="92"/>
      <c r="SZ49" s="92"/>
      <c r="TA49" s="92"/>
      <c r="TB49" s="92"/>
      <c r="TC49" s="92"/>
      <c r="TD49" s="92"/>
      <c r="TE49" s="92"/>
      <c r="TF49" s="92"/>
      <c r="TG49" s="92"/>
      <c r="TH49" s="92"/>
      <c r="TI49" s="92"/>
      <c r="TJ49" s="92"/>
      <c r="TK49" s="92"/>
      <c r="TL49" s="92"/>
      <c r="TM49" s="92"/>
      <c r="TN49" s="92"/>
      <c r="TO49" s="92"/>
      <c r="TP49" s="92"/>
      <c r="TQ49" s="92"/>
      <c r="TR49" s="92"/>
      <c r="TS49" s="92"/>
      <c r="TT49" s="92"/>
      <c r="TU49" s="92"/>
      <c r="TV49" s="92"/>
      <c r="TW49" s="92"/>
      <c r="TX49" s="92"/>
      <c r="TY49" s="92"/>
      <c r="TZ49" s="92"/>
      <c r="UA49" s="92"/>
      <c r="UB49" s="92"/>
      <c r="UC49" s="92"/>
      <c r="UD49" s="92"/>
      <c r="UE49" s="92"/>
      <c r="UF49" s="92"/>
      <c r="UG49" s="92"/>
      <c r="UH49" s="92"/>
      <c r="UI49" s="92"/>
      <c r="UJ49" s="92"/>
      <c r="UK49" s="92"/>
      <c r="UL49" s="92"/>
      <c r="UM49" s="92"/>
      <c r="UN49" s="92"/>
      <c r="UO49" s="92"/>
      <c r="UP49" s="92"/>
      <c r="UQ49" s="92"/>
      <c r="UR49" s="92"/>
      <c r="US49" s="92"/>
      <c r="UT49" s="92"/>
      <c r="UU49" s="92"/>
      <c r="UV49" s="92"/>
      <c r="UW49" s="92"/>
      <c r="UX49" s="92"/>
      <c r="UY49" s="92"/>
      <c r="UZ49" s="92"/>
      <c r="VA49" s="92"/>
      <c r="VB49" s="92"/>
      <c r="VC49" s="92"/>
      <c r="VD49" s="92"/>
      <c r="VE49" s="92"/>
      <c r="VF49" s="92"/>
      <c r="VG49" s="92"/>
      <c r="VH49" s="92"/>
      <c r="VI49" s="92"/>
      <c r="VJ49" s="92"/>
      <c r="VK49" s="92"/>
      <c r="VL49" s="92"/>
      <c r="VM49" s="92"/>
      <c r="VN49" s="92"/>
      <c r="VO49" s="92"/>
      <c r="VP49" s="92"/>
      <c r="VQ49" s="92"/>
      <c r="VR49" s="92"/>
      <c r="VS49" s="92"/>
      <c r="VT49" s="92"/>
      <c r="VU49" s="92"/>
      <c r="VV49" s="92"/>
      <c r="VW49" s="92"/>
      <c r="VX49" s="92"/>
      <c r="VY49" s="92"/>
      <c r="VZ49" s="92"/>
      <c r="WA49" s="92"/>
      <c r="WB49" s="92"/>
      <c r="WC49" s="92"/>
      <c r="WD49" s="92"/>
      <c r="WE49" s="92"/>
      <c r="WF49" s="92"/>
      <c r="WG49" s="92"/>
      <c r="WH49" s="92"/>
      <c r="WI49" s="92"/>
      <c r="WJ49" s="92"/>
      <c r="WK49" s="92"/>
      <c r="WL49" s="92"/>
      <c r="WM49" s="92"/>
      <c r="WN49" s="92"/>
      <c r="WO49" s="92"/>
      <c r="WP49" s="92"/>
      <c r="WQ49" s="92"/>
      <c r="WR49" s="92"/>
      <c r="WS49" s="92"/>
      <c r="WT49" s="92"/>
      <c r="WU49" s="92"/>
      <c r="WV49" s="92"/>
      <c r="WW49" s="92"/>
      <c r="WX49" s="92"/>
      <c r="WY49" s="92"/>
      <c r="WZ49" s="92"/>
      <c r="XA49" s="92"/>
      <c r="XB49" s="92"/>
      <c r="XC49" s="92"/>
      <c r="XD49" s="92"/>
      <c r="XE49" s="92"/>
      <c r="XF49" s="92"/>
      <c r="XG49" s="92"/>
      <c r="XH49" s="92"/>
      <c r="XI49" s="92"/>
      <c r="XJ49" s="92"/>
      <c r="XK49" s="92"/>
      <c r="XL49" s="92"/>
      <c r="XM49" s="92"/>
      <c r="XN49" s="92"/>
      <c r="XO49" s="92"/>
      <c r="XP49" s="92"/>
      <c r="XQ49" s="92"/>
      <c r="XR49" s="92"/>
      <c r="XS49" s="92"/>
      <c r="XT49" s="92"/>
      <c r="XU49" s="92"/>
      <c r="XV49" s="92"/>
      <c r="XW49" s="92"/>
      <c r="XX49" s="92"/>
      <c r="XY49" s="92"/>
      <c r="XZ49" s="92"/>
      <c r="YA49" s="92"/>
      <c r="YB49" s="92"/>
      <c r="YC49" s="92"/>
      <c r="YD49" s="92"/>
      <c r="YE49" s="92"/>
      <c r="YF49" s="92"/>
      <c r="YG49" s="92"/>
      <c r="YH49" s="92"/>
      <c r="YI49" s="92"/>
      <c r="YJ49" s="92"/>
      <c r="YK49" s="92"/>
      <c r="YL49" s="92"/>
      <c r="YM49" s="92"/>
      <c r="YN49" s="92"/>
      <c r="YO49" s="92"/>
      <c r="YP49" s="92"/>
      <c r="YQ49" s="92"/>
      <c r="YR49" s="92"/>
      <c r="YS49" s="92"/>
      <c r="YT49" s="92"/>
      <c r="YU49" s="92"/>
      <c r="YV49" s="92"/>
      <c r="YW49" s="92"/>
      <c r="YX49" s="92"/>
      <c r="YY49" s="92"/>
      <c r="YZ49" s="92"/>
      <c r="ZA49" s="92"/>
      <c r="ZB49" s="92"/>
      <c r="ZC49" s="92"/>
      <c r="ZL49" s="182" t="str">
        <f t="shared" si="1"/>
        <v>BUDAPEST -LYON</v>
      </c>
      <c r="ZM49" s="183" t="s">
        <v>539</v>
      </c>
      <c r="ZN49" s="182" t="s">
        <v>517</v>
      </c>
      <c r="ZO49" s="182">
        <v>1100</v>
      </c>
      <c r="ZP49" s="198">
        <v>283.8</v>
      </c>
      <c r="ZQ49" s="92"/>
      <c r="ZR49" s="92"/>
      <c r="ZS49" s="92"/>
      <c r="ZT49" s="92"/>
    </row>
    <row r="50" spans="1:696" ht="28.8">
      <c r="ZL50" s="182" t="str">
        <f t="shared" si="1"/>
        <v>BUDAPEST -LYON</v>
      </c>
      <c r="ZM50" s="183" t="s">
        <v>539</v>
      </c>
      <c r="ZN50" s="182" t="s">
        <v>517</v>
      </c>
      <c r="ZO50" s="182">
        <v>1100</v>
      </c>
      <c r="ZP50" s="198">
        <v>261.8</v>
      </c>
      <c r="ZQ50" s="92"/>
      <c r="ZR50" s="92"/>
      <c r="ZS50" s="92"/>
      <c r="ZT50" s="92"/>
    </row>
    <row r="51" spans="1:696" s="192" customFormat="1" ht="43.2">
      <c r="A51" s="91"/>
      <c r="B51" s="91"/>
      <c r="C51" s="91"/>
      <c r="D51" s="735">
        <v>2016</v>
      </c>
      <c r="E51" s="189" t="s">
        <v>711</v>
      </c>
      <c r="F51" s="182" t="s">
        <v>735</v>
      </c>
      <c r="G51" s="182" t="s">
        <v>735</v>
      </c>
      <c r="H51" s="182" t="s">
        <v>735</v>
      </c>
      <c r="I51" s="182" t="s">
        <v>735</v>
      </c>
      <c r="J51" s="182" t="s">
        <v>735</v>
      </c>
      <c r="K51" s="182" t="s">
        <v>735</v>
      </c>
      <c r="L51" s="182" t="s">
        <v>735</v>
      </c>
      <c r="M51" s="182" t="s">
        <v>763</v>
      </c>
      <c r="N51" s="182" t="s">
        <v>763</v>
      </c>
      <c r="O51" s="182" t="s">
        <v>763</v>
      </c>
      <c r="P51" s="182" t="s">
        <v>763</v>
      </c>
      <c r="Q51" s="182" t="s">
        <v>725</v>
      </c>
      <c r="R51" s="182" t="s">
        <v>725</v>
      </c>
      <c r="S51" s="182" t="s">
        <v>725</v>
      </c>
      <c r="T51" s="182" t="s">
        <v>725</v>
      </c>
      <c r="U51" s="182" t="s">
        <v>725</v>
      </c>
      <c r="V51" s="182" t="s">
        <v>725</v>
      </c>
      <c r="W51" s="182" t="s">
        <v>725</v>
      </c>
      <c r="X51" s="182" t="s">
        <v>728</v>
      </c>
      <c r="Y51" s="182" t="s">
        <v>728</v>
      </c>
      <c r="Z51" s="182" t="s">
        <v>768</v>
      </c>
      <c r="AA51" s="182" t="s">
        <v>768</v>
      </c>
      <c r="AB51" s="182" t="s">
        <v>768</v>
      </c>
      <c r="AC51" s="182" t="s">
        <v>768</v>
      </c>
      <c r="AD51" s="182" t="s">
        <v>768</v>
      </c>
      <c r="AE51" s="182" t="s">
        <v>722</v>
      </c>
      <c r="AF51" s="182" t="s">
        <v>722</v>
      </c>
      <c r="AG51" s="182" t="s">
        <v>722</v>
      </c>
      <c r="AH51" s="182" t="s">
        <v>722</v>
      </c>
      <c r="AI51" s="182" t="s">
        <v>722</v>
      </c>
      <c r="AJ51" s="182" t="s">
        <v>759</v>
      </c>
      <c r="AK51" s="182" t="s">
        <v>759</v>
      </c>
      <c r="AL51" s="182" t="s">
        <v>759</v>
      </c>
      <c r="AM51" s="182" t="s">
        <v>759</v>
      </c>
      <c r="AN51" s="182" t="s">
        <v>759</v>
      </c>
      <c r="AO51" s="182" t="s">
        <v>759</v>
      </c>
      <c r="AP51" s="182" t="s">
        <v>759</v>
      </c>
      <c r="AQ51" s="182" t="s">
        <v>769</v>
      </c>
      <c r="AR51" s="182" t="s">
        <v>769</v>
      </c>
      <c r="AS51" s="182" t="s">
        <v>769</v>
      </c>
      <c r="AT51" s="182" t="s">
        <v>769</v>
      </c>
      <c r="AU51" s="182" t="s">
        <v>727</v>
      </c>
      <c r="AV51" s="182" t="s">
        <v>727</v>
      </c>
      <c r="AW51" s="182" t="s">
        <v>727</v>
      </c>
      <c r="AX51" s="182" t="s">
        <v>727</v>
      </c>
      <c r="AY51" s="182" t="s">
        <v>727</v>
      </c>
      <c r="AZ51" s="182" t="s">
        <v>727</v>
      </c>
      <c r="BA51" s="182" t="s">
        <v>727</v>
      </c>
      <c r="BB51" s="182" t="s">
        <v>727</v>
      </c>
      <c r="BC51" s="182" t="s">
        <v>727</v>
      </c>
      <c r="BD51" s="182" t="s">
        <v>727</v>
      </c>
      <c r="BE51" s="182" t="s">
        <v>727</v>
      </c>
      <c r="BF51" s="182" t="s">
        <v>727</v>
      </c>
      <c r="BG51" s="182" t="s">
        <v>727</v>
      </c>
      <c r="BH51" s="182" t="s">
        <v>727</v>
      </c>
      <c r="BI51" s="182" t="s">
        <v>727</v>
      </c>
      <c r="BJ51" s="182" t="s">
        <v>727</v>
      </c>
      <c r="BK51" s="182" t="s">
        <v>727</v>
      </c>
      <c r="BL51" s="182" t="s">
        <v>727</v>
      </c>
      <c r="BM51" s="182" t="s">
        <v>727</v>
      </c>
      <c r="BN51" s="182" t="s">
        <v>727</v>
      </c>
      <c r="BO51" s="182" t="s">
        <v>727</v>
      </c>
      <c r="BP51" s="182" t="s">
        <v>727</v>
      </c>
      <c r="BQ51" s="182" t="s">
        <v>727</v>
      </c>
      <c r="BR51" s="182" t="s">
        <v>727</v>
      </c>
      <c r="BS51" s="182" t="s">
        <v>727</v>
      </c>
      <c r="BT51" s="182" t="s">
        <v>727</v>
      </c>
      <c r="BU51" s="182" t="s">
        <v>727</v>
      </c>
      <c r="BV51" s="182" t="s">
        <v>727</v>
      </c>
      <c r="BW51" s="182" t="s">
        <v>727</v>
      </c>
      <c r="BX51" s="182" t="s">
        <v>752</v>
      </c>
      <c r="BY51" s="182" t="s">
        <v>752</v>
      </c>
      <c r="BZ51" s="182" t="s">
        <v>752</v>
      </c>
      <c r="CA51" s="182" t="s">
        <v>753</v>
      </c>
      <c r="CB51" s="182" t="s">
        <v>770</v>
      </c>
      <c r="CC51" s="182" t="s">
        <v>770</v>
      </c>
      <c r="CD51" s="182" t="s">
        <v>741</v>
      </c>
      <c r="CE51" s="182" t="s">
        <v>741</v>
      </c>
      <c r="CF51" s="182" t="s">
        <v>741</v>
      </c>
      <c r="CG51" s="182" t="s">
        <v>741</v>
      </c>
      <c r="CH51" s="182" t="s">
        <v>723</v>
      </c>
      <c r="CI51" s="182" t="s">
        <v>723</v>
      </c>
      <c r="CJ51" s="182" t="s">
        <v>723</v>
      </c>
      <c r="CK51" s="182" t="s">
        <v>723</v>
      </c>
      <c r="CL51" s="182" t="s">
        <v>723</v>
      </c>
      <c r="CM51" s="182" t="s">
        <v>723</v>
      </c>
      <c r="CN51" s="182" t="s">
        <v>723</v>
      </c>
      <c r="CO51" s="182" t="s">
        <v>723</v>
      </c>
      <c r="CP51" s="182" t="s">
        <v>723</v>
      </c>
      <c r="CQ51" s="182" t="s">
        <v>723</v>
      </c>
      <c r="CR51" s="182" t="s">
        <v>723</v>
      </c>
      <c r="CS51" s="182" t="s">
        <v>723</v>
      </c>
      <c r="CT51" s="182" t="s">
        <v>723</v>
      </c>
      <c r="CU51" s="182" t="s">
        <v>723</v>
      </c>
      <c r="CV51" s="182" t="s">
        <v>723</v>
      </c>
      <c r="CW51" s="182" t="s">
        <v>723</v>
      </c>
      <c r="CX51" s="182" t="s">
        <v>723</v>
      </c>
      <c r="CY51" s="182" t="s">
        <v>723</v>
      </c>
      <c r="CZ51" s="182" t="s">
        <v>723</v>
      </c>
      <c r="DA51" s="182" t="s">
        <v>723</v>
      </c>
      <c r="DB51" s="182" t="s">
        <v>723</v>
      </c>
      <c r="DC51" s="182" t="s">
        <v>723</v>
      </c>
      <c r="DD51" s="182" t="s">
        <v>772</v>
      </c>
      <c r="DE51" s="182" t="s">
        <v>717</v>
      </c>
      <c r="DF51" s="182" t="s">
        <v>717</v>
      </c>
      <c r="DG51" s="182" t="s">
        <v>717</v>
      </c>
      <c r="DH51" s="182" t="s">
        <v>717</v>
      </c>
      <c r="DI51" s="182" t="s">
        <v>717</v>
      </c>
      <c r="DJ51" s="182" t="s">
        <v>726</v>
      </c>
      <c r="DK51" s="182" t="s">
        <v>726</v>
      </c>
      <c r="DL51" s="182" t="s">
        <v>726</v>
      </c>
      <c r="DM51" s="182" t="s">
        <v>726</v>
      </c>
      <c r="DN51" s="182" t="s">
        <v>726</v>
      </c>
      <c r="DO51" s="182" t="s">
        <v>726</v>
      </c>
      <c r="DP51" s="182" t="s">
        <v>726</v>
      </c>
      <c r="DQ51" s="182" t="s">
        <v>726</v>
      </c>
      <c r="DR51" s="182" t="s">
        <v>726</v>
      </c>
      <c r="DS51" s="182" t="s">
        <v>726</v>
      </c>
      <c r="DT51" s="182" t="s">
        <v>726</v>
      </c>
      <c r="DU51" s="182" t="s">
        <v>726</v>
      </c>
      <c r="DV51" s="182" t="s">
        <v>726</v>
      </c>
      <c r="DW51" s="182" t="s">
        <v>726</v>
      </c>
      <c r="DX51" s="182" t="s">
        <v>726</v>
      </c>
      <c r="DY51" s="182" t="s">
        <v>726</v>
      </c>
      <c r="DZ51" s="182" t="s">
        <v>726</v>
      </c>
      <c r="EA51" s="182" t="s">
        <v>726</v>
      </c>
      <c r="EB51" s="182" t="s">
        <v>726</v>
      </c>
      <c r="EC51" s="182" t="s">
        <v>726</v>
      </c>
      <c r="ED51" s="182" t="s">
        <v>726</v>
      </c>
      <c r="EE51" s="182" t="s">
        <v>726</v>
      </c>
      <c r="EF51" s="182" t="s">
        <v>726</v>
      </c>
      <c r="EG51" s="182" t="s">
        <v>726</v>
      </c>
      <c r="EH51" s="182" t="s">
        <v>726</v>
      </c>
      <c r="EI51" s="182" t="s">
        <v>726</v>
      </c>
      <c r="EJ51" s="182" t="s">
        <v>726</v>
      </c>
      <c r="EK51" s="182" t="s">
        <v>726</v>
      </c>
      <c r="EL51" s="182" t="s">
        <v>726</v>
      </c>
      <c r="EM51" s="182" t="s">
        <v>726</v>
      </c>
      <c r="EN51" s="182" t="s">
        <v>726</v>
      </c>
      <c r="EO51" s="182" t="s">
        <v>726</v>
      </c>
      <c r="EP51" s="182" t="s">
        <v>726</v>
      </c>
      <c r="EQ51" s="182" t="s">
        <v>739</v>
      </c>
      <c r="ER51" s="182" t="s">
        <v>739</v>
      </c>
      <c r="ES51" s="182" t="s">
        <v>718</v>
      </c>
      <c r="ET51" s="182" t="s">
        <v>718</v>
      </c>
      <c r="EU51" s="182" t="s">
        <v>718</v>
      </c>
      <c r="EV51" s="182" t="s">
        <v>718</v>
      </c>
      <c r="EW51" s="182" t="s">
        <v>718</v>
      </c>
      <c r="EX51" s="182" t="s">
        <v>718</v>
      </c>
      <c r="EY51" s="182" t="s">
        <v>718</v>
      </c>
      <c r="EZ51" s="182" t="s">
        <v>718</v>
      </c>
      <c r="FA51" s="182" t="s">
        <v>718</v>
      </c>
      <c r="FB51" s="182" t="s">
        <v>718</v>
      </c>
      <c r="FC51" s="182" t="s">
        <v>718</v>
      </c>
      <c r="FD51" s="182" t="s">
        <v>718</v>
      </c>
      <c r="FE51" s="182" t="s">
        <v>718</v>
      </c>
      <c r="FF51" s="182" t="s">
        <v>718</v>
      </c>
      <c r="FG51" s="182" t="s">
        <v>718</v>
      </c>
      <c r="FH51" s="182" t="s">
        <v>718</v>
      </c>
      <c r="FI51" s="182" t="s">
        <v>718</v>
      </c>
      <c r="FJ51" s="182" t="s">
        <v>718</v>
      </c>
      <c r="FK51" s="182" t="s">
        <v>718</v>
      </c>
      <c r="FL51" s="182" t="s">
        <v>718</v>
      </c>
      <c r="FM51" s="182" t="s">
        <v>718</v>
      </c>
      <c r="FN51" s="182" t="s">
        <v>718</v>
      </c>
      <c r="FO51" s="182" t="s">
        <v>718</v>
      </c>
      <c r="FP51" s="182" t="s">
        <v>718</v>
      </c>
      <c r="FQ51" s="182" t="s">
        <v>718</v>
      </c>
      <c r="FR51" s="182" t="s">
        <v>718</v>
      </c>
      <c r="FS51" s="182" t="s">
        <v>718</v>
      </c>
      <c r="FT51" s="182" t="s">
        <v>718</v>
      </c>
      <c r="FU51" s="182" t="s">
        <v>718</v>
      </c>
      <c r="FV51" s="182" t="s">
        <v>718</v>
      </c>
      <c r="FW51" s="182" t="s">
        <v>718</v>
      </c>
      <c r="FX51" s="182" t="s">
        <v>718</v>
      </c>
      <c r="FY51" s="182" t="s">
        <v>718</v>
      </c>
      <c r="FZ51" s="182" t="s">
        <v>718</v>
      </c>
      <c r="GA51" s="182" t="s">
        <v>718</v>
      </c>
      <c r="GB51" s="182" t="s">
        <v>718</v>
      </c>
      <c r="GC51" s="182" t="s">
        <v>718</v>
      </c>
      <c r="GD51" s="182" t="s">
        <v>718</v>
      </c>
      <c r="GE51" s="182" t="s">
        <v>718</v>
      </c>
      <c r="GF51" s="182" t="s">
        <v>718</v>
      </c>
      <c r="GG51" s="182" t="s">
        <v>718</v>
      </c>
      <c r="GH51" s="182" t="s">
        <v>718</v>
      </c>
      <c r="GI51" s="182" t="s">
        <v>718</v>
      </c>
      <c r="GJ51" s="182" t="s">
        <v>718</v>
      </c>
      <c r="GK51" s="182" t="s">
        <v>718</v>
      </c>
      <c r="GL51" s="182" t="s">
        <v>718</v>
      </c>
      <c r="GM51" s="182" t="s">
        <v>718</v>
      </c>
      <c r="GN51" s="182" t="s">
        <v>718</v>
      </c>
      <c r="GO51" s="182" t="s">
        <v>718</v>
      </c>
      <c r="GP51" s="182" t="s">
        <v>718</v>
      </c>
      <c r="GQ51" s="182" t="s">
        <v>718</v>
      </c>
      <c r="GR51" s="182" t="s">
        <v>718</v>
      </c>
      <c r="GS51" s="182" t="s">
        <v>718</v>
      </c>
      <c r="GT51" s="182" t="s">
        <v>718</v>
      </c>
      <c r="GU51" s="182" t="s">
        <v>718</v>
      </c>
      <c r="GV51" s="182" t="s">
        <v>718</v>
      </c>
      <c r="GW51" s="182" t="s">
        <v>718</v>
      </c>
      <c r="GX51" s="182" t="s">
        <v>718</v>
      </c>
      <c r="GY51" s="182" t="s">
        <v>718</v>
      </c>
      <c r="GZ51" s="182" t="s">
        <v>718</v>
      </c>
      <c r="HA51" s="182" t="s">
        <v>718</v>
      </c>
      <c r="HB51" s="182" t="s">
        <v>718</v>
      </c>
      <c r="HC51" s="182" t="s">
        <v>718</v>
      </c>
      <c r="HD51" s="182" t="s">
        <v>718</v>
      </c>
      <c r="HE51" s="182" t="s">
        <v>718</v>
      </c>
      <c r="HF51" s="182" t="s">
        <v>718</v>
      </c>
      <c r="HG51" s="182" t="s">
        <v>718</v>
      </c>
      <c r="HH51" s="182" t="s">
        <v>718</v>
      </c>
      <c r="HI51" s="182" t="s">
        <v>718</v>
      </c>
      <c r="HJ51" s="182" t="s">
        <v>718</v>
      </c>
      <c r="HK51" s="182" t="s">
        <v>718</v>
      </c>
      <c r="HL51" s="182" t="s">
        <v>718</v>
      </c>
      <c r="HM51" s="182" t="s">
        <v>718</v>
      </c>
      <c r="HN51" s="182" t="s">
        <v>718</v>
      </c>
      <c r="HO51" s="182" t="s">
        <v>718</v>
      </c>
      <c r="HP51" s="182" t="s">
        <v>718</v>
      </c>
      <c r="HQ51" s="182" t="s">
        <v>718</v>
      </c>
      <c r="HR51" s="182" t="s">
        <v>718</v>
      </c>
      <c r="HS51" s="182" t="s">
        <v>718</v>
      </c>
      <c r="HT51" s="182" t="s">
        <v>718</v>
      </c>
      <c r="HU51" s="182" t="s">
        <v>718</v>
      </c>
      <c r="HV51" s="182" t="s">
        <v>718</v>
      </c>
      <c r="HW51" s="182" t="s">
        <v>718</v>
      </c>
      <c r="HX51" s="182" t="s">
        <v>718</v>
      </c>
      <c r="HY51" s="182" t="s">
        <v>718</v>
      </c>
      <c r="HZ51" s="182" t="s">
        <v>718</v>
      </c>
      <c r="IA51" s="182" t="s">
        <v>718</v>
      </c>
      <c r="IB51" s="182" t="s">
        <v>718</v>
      </c>
      <c r="IC51" s="182" t="s">
        <v>718</v>
      </c>
      <c r="ID51" s="182" t="s">
        <v>718</v>
      </c>
      <c r="IE51" s="182" t="s">
        <v>718</v>
      </c>
      <c r="IF51" s="182" t="s">
        <v>718</v>
      </c>
      <c r="IG51" s="182" t="s">
        <v>718</v>
      </c>
      <c r="IH51" s="182" t="s">
        <v>718</v>
      </c>
      <c r="II51" s="182" t="s">
        <v>718</v>
      </c>
      <c r="IJ51" s="182" t="s">
        <v>718</v>
      </c>
      <c r="IK51" s="182" t="s">
        <v>718</v>
      </c>
      <c r="IL51" s="182" t="s">
        <v>718</v>
      </c>
      <c r="IM51" s="182" t="s">
        <v>718</v>
      </c>
      <c r="IN51" s="182" t="s">
        <v>718</v>
      </c>
      <c r="IO51" s="182" t="s">
        <v>718</v>
      </c>
      <c r="IP51" s="182" t="s">
        <v>718</v>
      </c>
      <c r="IQ51" s="182" t="s">
        <v>718</v>
      </c>
      <c r="IR51" s="182" t="s">
        <v>718</v>
      </c>
      <c r="IS51" s="182" t="s">
        <v>718</v>
      </c>
      <c r="IT51" s="182" t="s">
        <v>718</v>
      </c>
      <c r="IU51" s="182" t="s">
        <v>718</v>
      </c>
      <c r="IV51" s="182" t="s">
        <v>718</v>
      </c>
      <c r="IW51" s="182" t="s">
        <v>718</v>
      </c>
      <c r="IX51" s="182" t="s">
        <v>718</v>
      </c>
      <c r="IY51" s="182" t="s">
        <v>718</v>
      </c>
      <c r="IZ51" s="182" t="s">
        <v>718</v>
      </c>
      <c r="JA51" s="182" t="s">
        <v>718</v>
      </c>
      <c r="JB51" s="182" t="s">
        <v>718</v>
      </c>
      <c r="JC51" s="182" t="s">
        <v>718</v>
      </c>
      <c r="JD51" s="182" t="s">
        <v>718</v>
      </c>
      <c r="JE51" s="182" t="s">
        <v>718</v>
      </c>
      <c r="JF51" s="182" t="s">
        <v>718</v>
      </c>
      <c r="JG51" s="182" t="s">
        <v>718</v>
      </c>
      <c r="JH51" s="182" t="s">
        <v>718</v>
      </c>
      <c r="JI51" s="182" t="s">
        <v>718</v>
      </c>
      <c r="JJ51" s="182" t="s">
        <v>718</v>
      </c>
      <c r="JK51" s="182" t="s">
        <v>718</v>
      </c>
      <c r="JL51" s="182" t="s">
        <v>718</v>
      </c>
      <c r="JM51" s="182" t="s">
        <v>718</v>
      </c>
      <c r="JN51" s="182" t="s">
        <v>718</v>
      </c>
      <c r="JO51" s="182" t="s">
        <v>718</v>
      </c>
      <c r="JP51" s="182" t="s">
        <v>718</v>
      </c>
      <c r="JQ51" s="182" t="s">
        <v>718</v>
      </c>
      <c r="JR51" s="182" t="s">
        <v>718</v>
      </c>
      <c r="JS51" s="182" t="s">
        <v>718</v>
      </c>
      <c r="JT51" s="182" t="s">
        <v>718</v>
      </c>
      <c r="JU51" s="182" t="s">
        <v>718</v>
      </c>
      <c r="JV51" s="182" t="s">
        <v>718</v>
      </c>
      <c r="JW51" s="182" t="s">
        <v>718</v>
      </c>
      <c r="JX51" s="182" t="s">
        <v>718</v>
      </c>
      <c r="JY51" s="182" t="s">
        <v>718</v>
      </c>
      <c r="JZ51" s="182" t="s">
        <v>718</v>
      </c>
      <c r="KA51" s="182" t="s">
        <v>718</v>
      </c>
      <c r="KB51" s="182" t="s">
        <v>718</v>
      </c>
      <c r="KC51" s="182" t="s">
        <v>718</v>
      </c>
      <c r="KD51" s="182" t="s">
        <v>718</v>
      </c>
      <c r="KE51" s="182" t="s">
        <v>718</v>
      </c>
      <c r="KF51" s="182" t="s">
        <v>718</v>
      </c>
      <c r="KG51" s="182" t="s">
        <v>718</v>
      </c>
      <c r="KH51" s="182" t="s">
        <v>718</v>
      </c>
      <c r="KI51" s="182" t="s">
        <v>718</v>
      </c>
      <c r="KJ51" s="182" t="s">
        <v>718</v>
      </c>
      <c r="KK51" s="182" t="s">
        <v>718</v>
      </c>
      <c r="KL51" s="182" t="s">
        <v>718</v>
      </c>
      <c r="KM51" s="182" t="s">
        <v>718</v>
      </c>
      <c r="KN51" s="182" t="s">
        <v>718</v>
      </c>
      <c r="KO51" s="182" t="s">
        <v>718</v>
      </c>
      <c r="KP51" s="182" t="s">
        <v>718</v>
      </c>
      <c r="KQ51" s="182" t="s">
        <v>718</v>
      </c>
      <c r="KR51" s="182" t="s">
        <v>718</v>
      </c>
      <c r="KS51" s="182" t="s">
        <v>718</v>
      </c>
      <c r="KT51" s="182" t="s">
        <v>718</v>
      </c>
      <c r="KU51" s="182" t="s">
        <v>718</v>
      </c>
      <c r="KV51" s="182" t="s">
        <v>718</v>
      </c>
      <c r="KW51" s="182" t="s">
        <v>718</v>
      </c>
      <c r="KX51" s="182" t="s">
        <v>718</v>
      </c>
      <c r="KY51" s="182" t="s">
        <v>718</v>
      </c>
      <c r="KZ51" s="182" t="s">
        <v>718</v>
      </c>
      <c r="LA51" s="182" t="s">
        <v>718</v>
      </c>
      <c r="LB51" s="182" t="s">
        <v>718</v>
      </c>
      <c r="LC51" s="182" t="s">
        <v>718</v>
      </c>
      <c r="LD51" s="182" t="s">
        <v>718</v>
      </c>
      <c r="LE51" s="182" t="s">
        <v>718</v>
      </c>
      <c r="LF51" s="182" t="s">
        <v>718</v>
      </c>
      <c r="LG51" s="182" t="s">
        <v>718</v>
      </c>
      <c r="LH51" s="182" t="s">
        <v>718</v>
      </c>
      <c r="LI51" s="182" t="s">
        <v>718</v>
      </c>
      <c r="LJ51" s="182" t="s">
        <v>718</v>
      </c>
      <c r="LK51" s="182" t="s">
        <v>718</v>
      </c>
      <c r="LL51" s="182" t="s">
        <v>718</v>
      </c>
      <c r="LM51" s="182" t="s">
        <v>718</v>
      </c>
      <c r="LN51" s="182" t="s">
        <v>718</v>
      </c>
      <c r="LO51" s="182" t="s">
        <v>718</v>
      </c>
      <c r="LP51" s="182" t="s">
        <v>718</v>
      </c>
      <c r="LQ51" s="182" t="s">
        <v>718</v>
      </c>
      <c r="LR51" s="182" t="s">
        <v>718</v>
      </c>
      <c r="LS51" s="182" t="s">
        <v>718</v>
      </c>
      <c r="LT51" s="182" t="s">
        <v>718</v>
      </c>
      <c r="LU51" s="182" t="s">
        <v>718</v>
      </c>
      <c r="LV51" s="182" t="s">
        <v>718</v>
      </c>
      <c r="LW51" s="182" t="s">
        <v>718</v>
      </c>
      <c r="LX51" s="182" t="s">
        <v>718</v>
      </c>
      <c r="LY51" s="182" t="s">
        <v>718</v>
      </c>
      <c r="LZ51" s="182" t="s">
        <v>718</v>
      </c>
      <c r="MA51" s="182" t="s">
        <v>718</v>
      </c>
      <c r="MB51" s="182" t="s">
        <v>718</v>
      </c>
      <c r="MC51" s="182" t="s">
        <v>718</v>
      </c>
      <c r="MD51" s="182" t="s">
        <v>718</v>
      </c>
      <c r="ME51" s="182" t="s">
        <v>718</v>
      </c>
      <c r="MF51" s="182" t="s">
        <v>718</v>
      </c>
      <c r="MG51" s="182" t="s">
        <v>718</v>
      </c>
      <c r="MH51" s="182" t="s">
        <v>718</v>
      </c>
      <c r="MI51" s="182" t="s">
        <v>718</v>
      </c>
      <c r="MJ51" s="182" t="s">
        <v>718</v>
      </c>
      <c r="MK51" s="182" t="s">
        <v>718</v>
      </c>
      <c r="ML51" s="182" t="s">
        <v>718</v>
      </c>
      <c r="MM51" s="182" t="s">
        <v>718</v>
      </c>
      <c r="MN51" s="182" t="s">
        <v>718</v>
      </c>
      <c r="MO51" s="182" t="s">
        <v>718</v>
      </c>
      <c r="MP51" s="182" t="s">
        <v>730</v>
      </c>
      <c r="MQ51" s="182" t="s">
        <v>730</v>
      </c>
      <c r="MR51" s="182" t="s">
        <v>730</v>
      </c>
      <c r="MS51" s="182" t="s">
        <v>730</v>
      </c>
      <c r="MT51" s="182" t="s">
        <v>730</v>
      </c>
      <c r="MU51" s="182" t="s">
        <v>730</v>
      </c>
      <c r="MV51" s="182" t="s">
        <v>730</v>
      </c>
      <c r="MW51" s="182" t="s">
        <v>730</v>
      </c>
      <c r="MX51" s="182" t="s">
        <v>730</v>
      </c>
      <c r="MY51" s="182" t="s">
        <v>730</v>
      </c>
      <c r="MZ51" s="182" t="s">
        <v>730</v>
      </c>
      <c r="NA51" s="182" t="s">
        <v>730</v>
      </c>
      <c r="NB51" s="182" t="s">
        <v>730</v>
      </c>
      <c r="NC51" s="182" t="s">
        <v>730</v>
      </c>
      <c r="ND51" s="182" t="s">
        <v>730</v>
      </c>
      <c r="NE51" s="182" t="s">
        <v>730</v>
      </c>
      <c r="NF51" s="182" t="s">
        <v>730</v>
      </c>
      <c r="NG51" s="182" t="s">
        <v>730</v>
      </c>
      <c r="NH51" s="182" t="s">
        <v>730</v>
      </c>
      <c r="NI51" s="182" t="s">
        <v>730</v>
      </c>
      <c r="NJ51" s="182" t="s">
        <v>730</v>
      </c>
      <c r="NK51" s="182" t="s">
        <v>746</v>
      </c>
      <c r="NL51" s="182" t="s">
        <v>746</v>
      </c>
      <c r="NM51" s="182" t="s">
        <v>746</v>
      </c>
      <c r="NN51" s="182" t="s">
        <v>746</v>
      </c>
      <c r="NO51" s="182" t="s">
        <v>746</v>
      </c>
      <c r="NP51" s="182" t="s">
        <v>746</v>
      </c>
      <c r="NQ51" s="182" t="s">
        <v>746</v>
      </c>
      <c r="NR51" s="182" t="s">
        <v>746</v>
      </c>
      <c r="NS51" s="182" t="s">
        <v>746</v>
      </c>
      <c r="NT51" s="182" t="s">
        <v>746</v>
      </c>
      <c r="NU51" s="182" t="s">
        <v>746</v>
      </c>
      <c r="NV51" s="182" t="s">
        <v>746</v>
      </c>
      <c r="NW51" s="182" t="s">
        <v>746</v>
      </c>
      <c r="NX51" s="182" t="s">
        <v>746</v>
      </c>
      <c r="NY51" s="182" t="s">
        <v>746</v>
      </c>
      <c r="NZ51" s="182" t="s">
        <v>715</v>
      </c>
      <c r="OA51" s="182" t="s">
        <v>715</v>
      </c>
      <c r="OB51" s="182" t="s">
        <v>762</v>
      </c>
      <c r="OC51" s="182" t="s">
        <v>762</v>
      </c>
      <c r="OD51" s="182" t="s">
        <v>762</v>
      </c>
      <c r="OE51" s="182" t="s">
        <v>762</v>
      </c>
      <c r="OF51" s="182" t="s">
        <v>762</v>
      </c>
      <c r="OG51" s="182" t="s">
        <v>762</v>
      </c>
      <c r="OH51" s="182" t="s">
        <v>584</v>
      </c>
      <c r="OI51" s="182" t="s">
        <v>584</v>
      </c>
      <c r="OJ51" s="182" t="s">
        <v>584</v>
      </c>
      <c r="OK51" s="182" t="s">
        <v>584</v>
      </c>
      <c r="OL51" s="182" t="s">
        <v>584</v>
      </c>
      <c r="OM51" s="182" t="s">
        <v>584</v>
      </c>
      <c r="ON51" s="182" t="s">
        <v>584</v>
      </c>
      <c r="OO51" s="182" t="s">
        <v>584</v>
      </c>
      <c r="OP51" s="182" t="s">
        <v>737</v>
      </c>
      <c r="OQ51" s="182" t="s">
        <v>737</v>
      </c>
      <c r="OR51" s="182" t="s">
        <v>737</v>
      </c>
      <c r="OS51" s="182" t="s">
        <v>737</v>
      </c>
      <c r="OT51" s="182" t="s">
        <v>733</v>
      </c>
      <c r="OU51" s="182" t="s">
        <v>733</v>
      </c>
      <c r="OV51" s="182" t="s">
        <v>733</v>
      </c>
      <c r="OW51" s="182" t="s">
        <v>733</v>
      </c>
      <c r="OX51" s="182" t="s">
        <v>719</v>
      </c>
      <c r="OY51" s="182" t="s">
        <v>719</v>
      </c>
      <c r="OZ51" s="182" t="s">
        <v>719</v>
      </c>
      <c r="PA51" s="182" t="s">
        <v>719</v>
      </c>
      <c r="PB51" s="182" t="s">
        <v>719</v>
      </c>
      <c r="PC51" s="182" t="s">
        <v>719</v>
      </c>
      <c r="PD51" s="182" t="s">
        <v>719</v>
      </c>
      <c r="PE51" s="182" t="s">
        <v>719</v>
      </c>
      <c r="PF51" s="182" t="s">
        <v>719</v>
      </c>
      <c r="PG51" s="182" t="s">
        <v>719</v>
      </c>
      <c r="PH51" s="182" t="s">
        <v>719</v>
      </c>
      <c r="PI51" s="182" t="s">
        <v>719</v>
      </c>
      <c r="PJ51" s="182" t="s">
        <v>719</v>
      </c>
      <c r="PK51" s="182" t="s">
        <v>719</v>
      </c>
      <c r="PL51" s="182" t="s">
        <v>719</v>
      </c>
      <c r="PM51" s="182" t="s">
        <v>719</v>
      </c>
      <c r="PN51" s="182" t="s">
        <v>719</v>
      </c>
      <c r="PO51" s="182" t="s">
        <v>719</v>
      </c>
      <c r="PP51" s="182" t="s">
        <v>719</v>
      </c>
      <c r="PQ51" s="182" t="s">
        <v>719</v>
      </c>
      <c r="PR51" s="182" t="s">
        <v>719</v>
      </c>
      <c r="PS51" s="182" t="s">
        <v>719</v>
      </c>
      <c r="PT51" s="182" t="s">
        <v>719</v>
      </c>
      <c r="PU51" s="182" t="s">
        <v>719</v>
      </c>
      <c r="PV51" s="182" t="s">
        <v>719</v>
      </c>
      <c r="PW51" s="182" t="s">
        <v>719</v>
      </c>
      <c r="PX51" s="182" t="s">
        <v>724</v>
      </c>
      <c r="PY51" s="182" t="s">
        <v>724</v>
      </c>
      <c r="PZ51" s="182" t="s">
        <v>724</v>
      </c>
      <c r="QA51" s="182" t="s">
        <v>724</v>
      </c>
      <c r="QB51" s="182" t="s">
        <v>724</v>
      </c>
      <c r="QC51" s="182" t="s">
        <v>724</v>
      </c>
      <c r="QD51" s="182" t="s">
        <v>724</v>
      </c>
      <c r="QE51" s="182" t="s">
        <v>724</v>
      </c>
      <c r="QF51" s="182" t="s">
        <v>724</v>
      </c>
      <c r="QG51" s="182" t="s">
        <v>598</v>
      </c>
      <c r="QH51" s="182" t="s">
        <v>743</v>
      </c>
      <c r="QI51" s="182" t="s">
        <v>743</v>
      </c>
      <c r="QJ51" s="182" t="s">
        <v>743</v>
      </c>
      <c r="QK51" s="182" t="s">
        <v>743</v>
      </c>
      <c r="QL51" s="182" t="s">
        <v>743</v>
      </c>
      <c r="QM51" s="182" t="s">
        <v>743</v>
      </c>
      <c r="QN51" s="182" t="s">
        <v>743</v>
      </c>
      <c r="QO51" s="182" t="s">
        <v>743</v>
      </c>
      <c r="QP51" s="182" t="s">
        <v>743</v>
      </c>
      <c r="QQ51" s="182" t="s">
        <v>743</v>
      </c>
      <c r="QR51" s="182" t="s">
        <v>743</v>
      </c>
      <c r="QS51" s="182" t="s">
        <v>743</v>
      </c>
      <c r="QT51" s="182" t="s">
        <v>743</v>
      </c>
      <c r="QU51" s="182" t="s">
        <v>743</v>
      </c>
      <c r="QV51" s="182" t="s">
        <v>743</v>
      </c>
      <c r="QW51" s="182" t="s">
        <v>743</v>
      </c>
      <c r="QX51" s="182" t="s">
        <v>743</v>
      </c>
      <c r="QY51" s="182" t="s">
        <v>743</v>
      </c>
      <c r="QZ51" s="182" t="s">
        <v>743</v>
      </c>
      <c r="RA51" s="182" t="s">
        <v>743</v>
      </c>
      <c r="RB51" s="182" t="s">
        <v>743</v>
      </c>
      <c r="RC51" s="182" t="s">
        <v>743</v>
      </c>
      <c r="RD51" s="182" t="s">
        <v>743</v>
      </c>
      <c r="RE51" s="182" t="s">
        <v>743</v>
      </c>
      <c r="RF51" s="182" t="s">
        <v>743</v>
      </c>
      <c r="RG51" s="182" t="s">
        <v>743</v>
      </c>
      <c r="RH51" s="182" t="s">
        <v>743</v>
      </c>
      <c r="RI51" s="182" t="s">
        <v>743</v>
      </c>
      <c r="RJ51" s="182" t="s">
        <v>743</v>
      </c>
      <c r="RK51" s="182" t="s">
        <v>743</v>
      </c>
      <c r="RL51" s="182" t="s">
        <v>743</v>
      </c>
      <c r="RM51" s="182" t="s">
        <v>743</v>
      </c>
      <c r="RN51" s="182" t="s">
        <v>743</v>
      </c>
      <c r="RO51" s="182" t="s">
        <v>743</v>
      </c>
      <c r="RP51" s="182" t="s">
        <v>743</v>
      </c>
      <c r="RQ51" s="182" t="s">
        <v>716</v>
      </c>
      <c r="RR51" s="182" t="s">
        <v>716</v>
      </c>
      <c r="RS51" s="182" t="s">
        <v>716</v>
      </c>
      <c r="RT51" s="182" t="s">
        <v>633</v>
      </c>
      <c r="RU51" s="182" t="s">
        <v>633</v>
      </c>
      <c r="RV51" s="182" t="s">
        <v>633</v>
      </c>
      <c r="RW51" s="182" t="s">
        <v>633</v>
      </c>
      <c r="RX51" s="182" t="s">
        <v>766</v>
      </c>
      <c r="RY51" s="182" t="s">
        <v>766</v>
      </c>
      <c r="RZ51" s="182" t="s">
        <v>766</v>
      </c>
      <c r="SA51" s="182" t="s">
        <v>766</v>
      </c>
      <c r="SB51" s="182" t="s">
        <v>766</v>
      </c>
      <c r="SC51" s="182" t="s">
        <v>774</v>
      </c>
      <c r="SD51" s="182" t="s">
        <v>774</v>
      </c>
      <c r="SE51" s="182" t="s">
        <v>774</v>
      </c>
      <c r="SF51" s="182" t="s">
        <v>774</v>
      </c>
      <c r="SG51" s="182" t="s">
        <v>731</v>
      </c>
      <c r="SH51" s="182" t="s">
        <v>731</v>
      </c>
      <c r="SI51" s="182" t="s">
        <v>731</v>
      </c>
      <c r="SJ51" s="182" t="s">
        <v>731</v>
      </c>
      <c r="SK51" s="182" t="s">
        <v>731</v>
      </c>
      <c r="SL51" s="182" t="s">
        <v>731</v>
      </c>
      <c r="SM51" s="182" t="s">
        <v>775</v>
      </c>
      <c r="SN51" s="182" t="s">
        <v>775</v>
      </c>
      <c r="SO51" s="182" t="s">
        <v>775</v>
      </c>
      <c r="SP51" s="182" t="s">
        <v>775</v>
      </c>
      <c r="SQ51" s="182" t="s">
        <v>775</v>
      </c>
      <c r="SR51" s="182" t="s">
        <v>742</v>
      </c>
      <c r="SS51" s="182" t="s">
        <v>742</v>
      </c>
      <c r="ST51" s="182" t="s">
        <v>742</v>
      </c>
      <c r="SU51" s="182" t="s">
        <v>742</v>
      </c>
      <c r="SV51" s="182" t="s">
        <v>742</v>
      </c>
      <c r="SW51" s="182" t="s">
        <v>742</v>
      </c>
      <c r="SX51" s="182" t="s">
        <v>742</v>
      </c>
      <c r="SY51" s="182" t="s">
        <v>734</v>
      </c>
      <c r="SZ51" s="182" t="s">
        <v>734</v>
      </c>
      <c r="TA51" s="182" t="s">
        <v>734</v>
      </c>
      <c r="TB51" s="182" t="s">
        <v>734</v>
      </c>
      <c r="TC51" s="182" t="s">
        <v>734</v>
      </c>
      <c r="TD51" s="182" t="s">
        <v>734</v>
      </c>
      <c r="TE51" s="182" t="s">
        <v>765</v>
      </c>
      <c r="TF51" s="182" t="s">
        <v>747</v>
      </c>
      <c r="TG51" s="182" t="s">
        <v>747</v>
      </c>
      <c r="TH51" s="182" t="s">
        <v>747</v>
      </c>
      <c r="TI51" s="182" t="s">
        <v>747</v>
      </c>
      <c r="TJ51" s="182" t="s">
        <v>747</v>
      </c>
      <c r="TK51" s="182" t="s">
        <v>747</v>
      </c>
      <c r="TL51" s="182" t="s">
        <v>747</v>
      </c>
      <c r="TM51" s="182" t="s">
        <v>747</v>
      </c>
      <c r="TN51" s="182" t="s">
        <v>747</v>
      </c>
      <c r="TO51" s="182" t="s">
        <v>776</v>
      </c>
      <c r="TP51" s="182" t="s">
        <v>776</v>
      </c>
      <c r="TQ51" s="182" t="s">
        <v>776</v>
      </c>
      <c r="TR51" s="182" t="s">
        <v>776</v>
      </c>
      <c r="TS51" s="182" t="s">
        <v>776</v>
      </c>
      <c r="TT51" s="182" t="s">
        <v>641</v>
      </c>
      <c r="TU51" s="182" t="s">
        <v>641</v>
      </c>
      <c r="TV51" s="182" t="s">
        <v>641</v>
      </c>
      <c r="TW51" s="182" t="s">
        <v>641</v>
      </c>
      <c r="TX51" s="182" t="s">
        <v>740</v>
      </c>
      <c r="TY51" s="182" t="s">
        <v>740</v>
      </c>
      <c r="TZ51" s="182" t="s">
        <v>740</v>
      </c>
      <c r="UA51" s="182" t="s">
        <v>740</v>
      </c>
      <c r="UB51" s="182" t="s">
        <v>740</v>
      </c>
      <c r="UC51" s="182" t="s">
        <v>740</v>
      </c>
      <c r="UD51" s="182" t="s">
        <v>740</v>
      </c>
      <c r="UE51" s="182" t="s">
        <v>740</v>
      </c>
      <c r="UF51" s="182" t="s">
        <v>740</v>
      </c>
      <c r="UG51" s="182" t="s">
        <v>720</v>
      </c>
      <c r="UH51" s="182" t="s">
        <v>720</v>
      </c>
      <c r="UI51" s="182" t="s">
        <v>757</v>
      </c>
      <c r="UJ51" s="182" t="s">
        <v>757</v>
      </c>
      <c r="UK51" s="182" t="s">
        <v>757</v>
      </c>
      <c r="UL51" s="182" t="s">
        <v>777</v>
      </c>
      <c r="UM51" s="182" t="s">
        <v>777</v>
      </c>
      <c r="UN51" s="182" t="s">
        <v>748</v>
      </c>
      <c r="UO51" s="182" t="s">
        <v>748</v>
      </c>
      <c r="UP51" s="182" t="s">
        <v>748</v>
      </c>
      <c r="UQ51" s="182" t="s">
        <v>714</v>
      </c>
      <c r="UR51" s="182" t="s">
        <v>714</v>
      </c>
      <c r="US51" s="182" t="s">
        <v>714</v>
      </c>
      <c r="UT51" s="182" t="s">
        <v>714</v>
      </c>
      <c r="UU51" s="182" t="s">
        <v>714</v>
      </c>
      <c r="UV51" s="182" t="s">
        <v>714</v>
      </c>
      <c r="UW51" s="182" t="s">
        <v>714</v>
      </c>
      <c r="UX51" s="182" t="s">
        <v>714</v>
      </c>
      <c r="UY51" s="182" t="s">
        <v>714</v>
      </c>
      <c r="UZ51" s="182" t="s">
        <v>714</v>
      </c>
      <c r="VA51" s="182" t="s">
        <v>714</v>
      </c>
      <c r="VB51" s="182" t="s">
        <v>714</v>
      </c>
      <c r="VC51" s="182" t="s">
        <v>714</v>
      </c>
      <c r="VD51" s="182" t="s">
        <v>714</v>
      </c>
      <c r="VE51" s="182" t="s">
        <v>714</v>
      </c>
      <c r="VF51" s="182" t="s">
        <v>714</v>
      </c>
      <c r="VG51" s="182" t="s">
        <v>714</v>
      </c>
      <c r="VH51" s="182" t="s">
        <v>714</v>
      </c>
      <c r="VI51" s="182" t="s">
        <v>714</v>
      </c>
      <c r="VJ51" s="182" t="s">
        <v>714</v>
      </c>
      <c r="VK51" s="182" t="s">
        <v>714</v>
      </c>
      <c r="VL51" s="182" t="s">
        <v>714</v>
      </c>
      <c r="VM51" s="182" t="s">
        <v>714</v>
      </c>
      <c r="VN51" s="182" t="s">
        <v>714</v>
      </c>
      <c r="VO51" s="182" t="s">
        <v>714</v>
      </c>
      <c r="VP51" s="182" t="s">
        <v>714</v>
      </c>
      <c r="VQ51" s="182" t="s">
        <v>714</v>
      </c>
      <c r="VR51" s="182" t="s">
        <v>714</v>
      </c>
      <c r="VS51" s="182" t="s">
        <v>714</v>
      </c>
      <c r="VT51" s="182" t="s">
        <v>714</v>
      </c>
      <c r="VU51" s="182" t="s">
        <v>714</v>
      </c>
      <c r="VV51" s="182" t="s">
        <v>714</v>
      </c>
      <c r="VW51" s="182" t="s">
        <v>714</v>
      </c>
      <c r="VX51" s="182" t="s">
        <v>714</v>
      </c>
      <c r="VY51" s="182" t="s">
        <v>714</v>
      </c>
      <c r="VZ51" s="182" t="s">
        <v>714</v>
      </c>
      <c r="WA51" s="182" t="s">
        <v>714</v>
      </c>
      <c r="WB51" s="182" t="s">
        <v>714</v>
      </c>
      <c r="WC51" s="182" t="s">
        <v>714</v>
      </c>
      <c r="WD51" s="182" t="s">
        <v>714</v>
      </c>
      <c r="WE51" s="182" t="s">
        <v>714</v>
      </c>
      <c r="WF51" s="182" t="s">
        <v>714</v>
      </c>
      <c r="WG51" s="182" t="s">
        <v>714</v>
      </c>
      <c r="WH51" s="182" t="s">
        <v>714</v>
      </c>
      <c r="WI51" s="182" t="s">
        <v>714</v>
      </c>
      <c r="WJ51" s="182" t="s">
        <v>714</v>
      </c>
      <c r="WK51" s="182" t="s">
        <v>714</v>
      </c>
      <c r="WL51" s="182" t="s">
        <v>714</v>
      </c>
      <c r="WM51" s="182" t="s">
        <v>779</v>
      </c>
      <c r="WN51" s="182" t="s">
        <v>779</v>
      </c>
      <c r="WO51" s="182" t="s">
        <v>779</v>
      </c>
      <c r="ZL51" s="182" t="str">
        <f t="shared" si="1"/>
        <v>CAEN -LYON</v>
      </c>
      <c r="ZM51" s="183" t="s">
        <v>540</v>
      </c>
      <c r="ZN51" s="182" t="s">
        <v>517</v>
      </c>
      <c r="ZO51" s="182">
        <v>545</v>
      </c>
      <c r="ZP51" s="198">
        <v>171.13</v>
      </c>
      <c r="ZQ51" s="193"/>
      <c r="ZR51" s="193"/>
      <c r="ZS51" s="193"/>
      <c r="ZT51" s="193"/>
    </row>
    <row r="52" spans="1:696" s="192" customFormat="1" ht="28.8">
      <c r="A52" s="91"/>
      <c r="B52" s="91"/>
      <c r="C52" s="91"/>
      <c r="D52" s="735"/>
      <c r="E52" s="194" t="s">
        <v>339</v>
      </c>
      <c r="F52" s="183" t="s">
        <v>343</v>
      </c>
      <c r="G52" s="183" t="s">
        <v>343</v>
      </c>
      <c r="H52" s="183" t="s">
        <v>343</v>
      </c>
      <c r="I52" s="183" t="s">
        <v>343</v>
      </c>
      <c r="J52" s="183" t="s">
        <v>343</v>
      </c>
      <c r="K52" s="183" t="s">
        <v>343</v>
      </c>
      <c r="L52" s="183" t="s">
        <v>343</v>
      </c>
      <c r="M52" s="183" t="s">
        <v>343</v>
      </c>
      <c r="N52" s="183" t="s">
        <v>343</v>
      </c>
      <c r="O52" s="183" t="s">
        <v>343</v>
      </c>
      <c r="P52" s="183" t="s">
        <v>343</v>
      </c>
      <c r="Q52" s="183" t="s">
        <v>356</v>
      </c>
      <c r="R52" s="183" t="s">
        <v>356</v>
      </c>
      <c r="S52" s="183" t="s">
        <v>356</v>
      </c>
      <c r="T52" s="183" t="s">
        <v>356</v>
      </c>
      <c r="U52" s="183" t="s">
        <v>356</v>
      </c>
      <c r="V52" s="183" t="s">
        <v>356</v>
      </c>
      <c r="W52" s="183" t="s">
        <v>356</v>
      </c>
      <c r="X52" s="183" t="s">
        <v>356</v>
      </c>
      <c r="Y52" s="183" t="s">
        <v>356</v>
      </c>
      <c r="Z52" s="183" t="s">
        <v>343</v>
      </c>
      <c r="AA52" s="183" t="s">
        <v>343</v>
      </c>
      <c r="AB52" s="183" t="s">
        <v>343</v>
      </c>
      <c r="AC52" s="183" t="s">
        <v>343</v>
      </c>
      <c r="AD52" s="183" t="s">
        <v>343</v>
      </c>
      <c r="AE52" s="183" t="s">
        <v>343</v>
      </c>
      <c r="AF52" s="183" t="s">
        <v>343</v>
      </c>
      <c r="AG52" s="183" t="s">
        <v>343</v>
      </c>
      <c r="AH52" s="183" t="s">
        <v>343</v>
      </c>
      <c r="AI52" s="183" t="s">
        <v>343</v>
      </c>
      <c r="AJ52" s="183" t="s">
        <v>343</v>
      </c>
      <c r="AK52" s="183" t="s">
        <v>343</v>
      </c>
      <c r="AL52" s="183" t="s">
        <v>343</v>
      </c>
      <c r="AM52" s="183" t="s">
        <v>343</v>
      </c>
      <c r="AN52" s="183" t="s">
        <v>343</v>
      </c>
      <c r="AO52" s="183" t="s">
        <v>343</v>
      </c>
      <c r="AP52" s="183" t="s">
        <v>343</v>
      </c>
      <c r="AQ52" s="183" t="s">
        <v>343</v>
      </c>
      <c r="AR52" s="183" t="s">
        <v>343</v>
      </c>
      <c r="AS52" s="183" t="s">
        <v>343</v>
      </c>
      <c r="AT52" s="183" t="s">
        <v>343</v>
      </c>
      <c r="AU52" s="183" t="s">
        <v>343</v>
      </c>
      <c r="AV52" s="183" t="s">
        <v>343</v>
      </c>
      <c r="AW52" s="183" t="s">
        <v>343</v>
      </c>
      <c r="AX52" s="183" t="s">
        <v>343</v>
      </c>
      <c r="AY52" s="183" t="s">
        <v>343</v>
      </c>
      <c r="AZ52" s="183" t="s">
        <v>343</v>
      </c>
      <c r="BA52" s="183" t="s">
        <v>343</v>
      </c>
      <c r="BB52" s="183" t="s">
        <v>343</v>
      </c>
      <c r="BC52" s="183" t="s">
        <v>343</v>
      </c>
      <c r="BD52" s="183" t="s">
        <v>343</v>
      </c>
      <c r="BE52" s="183" t="s">
        <v>343</v>
      </c>
      <c r="BF52" s="183" t="s">
        <v>343</v>
      </c>
      <c r="BG52" s="183" t="s">
        <v>343</v>
      </c>
      <c r="BH52" s="183" t="s">
        <v>343</v>
      </c>
      <c r="BI52" s="183" t="s">
        <v>343</v>
      </c>
      <c r="BJ52" s="183" t="s">
        <v>343</v>
      </c>
      <c r="BK52" s="183" t="s">
        <v>343</v>
      </c>
      <c r="BL52" s="183" t="s">
        <v>343</v>
      </c>
      <c r="BM52" s="183" t="s">
        <v>343</v>
      </c>
      <c r="BN52" s="183" t="s">
        <v>343</v>
      </c>
      <c r="BO52" s="183" t="s">
        <v>343</v>
      </c>
      <c r="BP52" s="183" t="s">
        <v>343</v>
      </c>
      <c r="BQ52" s="183" t="s">
        <v>343</v>
      </c>
      <c r="BR52" s="183" t="s">
        <v>343</v>
      </c>
      <c r="BS52" s="183" t="s">
        <v>343</v>
      </c>
      <c r="BT52" s="183" t="s">
        <v>343</v>
      </c>
      <c r="BU52" s="183" t="s">
        <v>343</v>
      </c>
      <c r="BV52" s="183" t="s">
        <v>343</v>
      </c>
      <c r="BW52" s="183" t="s">
        <v>343</v>
      </c>
      <c r="BX52" s="183" t="s">
        <v>356</v>
      </c>
      <c r="BY52" s="183" t="s">
        <v>356</v>
      </c>
      <c r="BZ52" s="183" t="s">
        <v>356</v>
      </c>
      <c r="CA52" s="183" t="s">
        <v>343</v>
      </c>
      <c r="CB52" s="183" t="s">
        <v>343</v>
      </c>
      <c r="CC52" s="183" t="s">
        <v>343</v>
      </c>
      <c r="CD52" s="183" t="s">
        <v>356</v>
      </c>
      <c r="CE52" s="183" t="s">
        <v>356</v>
      </c>
      <c r="CF52" s="183" t="s">
        <v>356</v>
      </c>
      <c r="CG52" s="183" t="s">
        <v>356</v>
      </c>
      <c r="CH52" s="183" t="s">
        <v>356</v>
      </c>
      <c r="CI52" s="183" t="s">
        <v>356</v>
      </c>
      <c r="CJ52" s="183" t="s">
        <v>356</v>
      </c>
      <c r="CK52" s="183" t="s">
        <v>356</v>
      </c>
      <c r="CL52" s="183" t="s">
        <v>356</v>
      </c>
      <c r="CM52" s="183" t="s">
        <v>356</v>
      </c>
      <c r="CN52" s="183" t="s">
        <v>356</v>
      </c>
      <c r="CO52" s="183" t="s">
        <v>356</v>
      </c>
      <c r="CP52" s="183" t="s">
        <v>356</v>
      </c>
      <c r="CQ52" s="183" t="s">
        <v>356</v>
      </c>
      <c r="CR52" s="183" t="s">
        <v>356</v>
      </c>
      <c r="CS52" s="183" t="s">
        <v>356</v>
      </c>
      <c r="CT52" s="183" t="s">
        <v>356</v>
      </c>
      <c r="CU52" s="183" t="s">
        <v>356</v>
      </c>
      <c r="CV52" s="183" t="s">
        <v>356</v>
      </c>
      <c r="CW52" s="183" t="s">
        <v>356</v>
      </c>
      <c r="CX52" s="183" t="s">
        <v>356</v>
      </c>
      <c r="CY52" s="183" t="s">
        <v>356</v>
      </c>
      <c r="CZ52" s="183" t="s">
        <v>356</v>
      </c>
      <c r="DA52" s="183" t="s">
        <v>356</v>
      </c>
      <c r="DB52" s="183" t="s">
        <v>356</v>
      </c>
      <c r="DC52" s="183" t="s">
        <v>356</v>
      </c>
      <c r="DD52" s="183" t="s">
        <v>356</v>
      </c>
      <c r="DE52" s="183" t="s">
        <v>356</v>
      </c>
      <c r="DF52" s="183" t="s">
        <v>356</v>
      </c>
      <c r="DG52" s="183" t="s">
        <v>356</v>
      </c>
      <c r="DH52" s="183" t="s">
        <v>343</v>
      </c>
      <c r="DI52" s="183" t="s">
        <v>343</v>
      </c>
      <c r="DJ52" s="183" t="s">
        <v>356</v>
      </c>
      <c r="DK52" s="183" t="s">
        <v>356</v>
      </c>
      <c r="DL52" s="183" t="s">
        <v>356</v>
      </c>
      <c r="DM52" s="183" t="s">
        <v>356</v>
      </c>
      <c r="DN52" s="183" t="s">
        <v>356</v>
      </c>
      <c r="DO52" s="183" t="s">
        <v>356</v>
      </c>
      <c r="DP52" s="183" t="s">
        <v>356</v>
      </c>
      <c r="DQ52" s="183" t="s">
        <v>356</v>
      </c>
      <c r="DR52" s="183" t="s">
        <v>356</v>
      </c>
      <c r="DS52" s="183" t="s">
        <v>356</v>
      </c>
      <c r="DT52" s="183" t="s">
        <v>356</v>
      </c>
      <c r="DU52" s="183" t="s">
        <v>356</v>
      </c>
      <c r="DV52" s="183" t="s">
        <v>356</v>
      </c>
      <c r="DW52" s="183" t="s">
        <v>356</v>
      </c>
      <c r="DX52" s="183" t="s">
        <v>356</v>
      </c>
      <c r="DY52" s="183" t="s">
        <v>356</v>
      </c>
      <c r="DZ52" s="183" t="s">
        <v>356</v>
      </c>
      <c r="EA52" s="183" t="s">
        <v>356</v>
      </c>
      <c r="EB52" s="183" t="s">
        <v>356</v>
      </c>
      <c r="EC52" s="183" t="s">
        <v>356</v>
      </c>
      <c r="ED52" s="183" t="s">
        <v>356</v>
      </c>
      <c r="EE52" s="183" t="s">
        <v>356</v>
      </c>
      <c r="EF52" s="183" t="s">
        <v>356</v>
      </c>
      <c r="EG52" s="183" t="s">
        <v>356</v>
      </c>
      <c r="EH52" s="183" t="s">
        <v>356</v>
      </c>
      <c r="EI52" s="183" t="s">
        <v>356</v>
      </c>
      <c r="EJ52" s="183" t="s">
        <v>356</v>
      </c>
      <c r="EK52" s="183" t="s">
        <v>356</v>
      </c>
      <c r="EL52" s="183" t="s">
        <v>356</v>
      </c>
      <c r="EM52" s="183" t="s">
        <v>356</v>
      </c>
      <c r="EN52" s="183" t="s">
        <v>356</v>
      </c>
      <c r="EO52" s="183" t="s">
        <v>356</v>
      </c>
      <c r="EP52" s="183" t="s">
        <v>356</v>
      </c>
      <c r="EQ52" s="183" t="s">
        <v>356</v>
      </c>
      <c r="ER52" s="183" t="s">
        <v>356</v>
      </c>
      <c r="ES52" s="183" t="s">
        <v>348</v>
      </c>
      <c r="ET52" s="183" t="s">
        <v>348</v>
      </c>
      <c r="EU52" s="183" t="s">
        <v>348</v>
      </c>
      <c r="EV52" s="183" t="s">
        <v>348</v>
      </c>
      <c r="EW52" s="183" t="s">
        <v>348</v>
      </c>
      <c r="EX52" s="183" t="s">
        <v>348</v>
      </c>
      <c r="EY52" s="183" t="s">
        <v>348</v>
      </c>
      <c r="EZ52" s="183" t="s">
        <v>348</v>
      </c>
      <c r="FA52" s="183" t="s">
        <v>348</v>
      </c>
      <c r="FB52" s="183" t="s">
        <v>356</v>
      </c>
      <c r="FC52" s="183" t="s">
        <v>348</v>
      </c>
      <c r="FD52" s="183" t="s">
        <v>348</v>
      </c>
      <c r="FE52" s="183" t="s">
        <v>348</v>
      </c>
      <c r="FF52" s="183" t="s">
        <v>348</v>
      </c>
      <c r="FG52" s="183" t="s">
        <v>348</v>
      </c>
      <c r="FH52" s="183" t="s">
        <v>348</v>
      </c>
      <c r="FI52" s="183" t="s">
        <v>348</v>
      </c>
      <c r="FJ52" s="183" t="s">
        <v>348</v>
      </c>
      <c r="FK52" s="183" t="s">
        <v>348</v>
      </c>
      <c r="FL52" s="183" t="s">
        <v>348</v>
      </c>
      <c r="FM52" s="183" t="s">
        <v>348</v>
      </c>
      <c r="FN52" s="183" t="s">
        <v>348</v>
      </c>
      <c r="FO52" s="183" t="s">
        <v>348</v>
      </c>
      <c r="FP52" s="183" t="s">
        <v>348</v>
      </c>
      <c r="FQ52" s="183" t="s">
        <v>348</v>
      </c>
      <c r="FR52" s="183" t="s">
        <v>348</v>
      </c>
      <c r="FS52" s="183" t="s">
        <v>348</v>
      </c>
      <c r="FT52" s="183" t="s">
        <v>348</v>
      </c>
      <c r="FU52" s="183" t="s">
        <v>348</v>
      </c>
      <c r="FV52" s="183" t="s">
        <v>348</v>
      </c>
      <c r="FW52" s="183" t="s">
        <v>348</v>
      </c>
      <c r="FX52" s="183" t="s">
        <v>348</v>
      </c>
      <c r="FY52" s="183" t="s">
        <v>348</v>
      </c>
      <c r="FZ52" s="183" t="s">
        <v>348</v>
      </c>
      <c r="GA52" s="183" t="s">
        <v>348</v>
      </c>
      <c r="GB52" s="183" t="s">
        <v>348</v>
      </c>
      <c r="GC52" s="183" t="s">
        <v>348</v>
      </c>
      <c r="GD52" s="183" t="s">
        <v>348</v>
      </c>
      <c r="GE52" s="183" t="s">
        <v>348</v>
      </c>
      <c r="GF52" s="183" t="s">
        <v>348</v>
      </c>
      <c r="GG52" s="183" t="s">
        <v>348</v>
      </c>
      <c r="GH52" s="183" t="s">
        <v>348</v>
      </c>
      <c r="GI52" s="183" t="s">
        <v>348</v>
      </c>
      <c r="GJ52" s="183" t="s">
        <v>348</v>
      </c>
      <c r="GK52" s="183" t="s">
        <v>348</v>
      </c>
      <c r="GL52" s="183" t="s">
        <v>348</v>
      </c>
      <c r="GM52" s="183" t="s">
        <v>348</v>
      </c>
      <c r="GN52" s="183" t="s">
        <v>348</v>
      </c>
      <c r="GO52" s="183" t="s">
        <v>348</v>
      </c>
      <c r="GP52" s="183" t="s">
        <v>348</v>
      </c>
      <c r="GQ52" s="183" t="s">
        <v>348</v>
      </c>
      <c r="GR52" s="183" t="s">
        <v>348</v>
      </c>
      <c r="GS52" s="183" t="s">
        <v>348</v>
      </c>
      <c r="GT52" s="183" t="s">
        <v>348</v>
      </c>
      <c r="GU52" s="183" t="s">
        <v>348</v>
      </c>
      <c r="GV52" s="183" t="s">
        <v>348</v>
      </c>
      <c r="GW52" s="183" t="s">
        <v>348</v>
      </c>
      <c r="GX52" s="183" t="s">
        <v>348</v>
      </c>
      <c r="GY52" s="183" t="s">
        <v>348</v>
      </c>
      <c r="GZ52" s="183" t="s">
        <v>348</v>
      </c>
      <c r="HA52" s="183" t="s">
        <v>348</v>
      </c>
      <c r="HB52" s="183" t="s">
        <v>348</v>
      </c>
      <c r="HC52" s="183" t="s">
        <v>348</v>
      </c>
      <c r="HD52" s="183" t="s">
        <v>348</v>
      </c>
      <c r="HE52" s="183" t="s">
        <v>348</v>
      </c>
      <c r="HF52" s="183" t="s">
        <v>348</v>
      </c>
      <c r="HG52" s="183" t="s">
        <v>348</v>
      </c>
      <c r="HH52" s="183" t="s">
        <v>348</v>
      </c>
      <c r="HI52" s="183" t="s">
        <v>348</v>
      </c>
      <c r="HJ52" s="183" t="s">
        <v>348</v>
      </c>
      <c r="HK52" s="183" t="s">
        <v>348</v>
      </c>
      <c r="HL52" s="183" t="s">
        <v>348</v>
      </c>
      <c r="HM52" s="183" t="s">
        <v>348</v>
      </c>
      <c r="HN52" s="183" t="s">
        <v>348</v>
      </c>
      <c r="HO52" s="183" t="s">
        <v>348</v>
      </c>
      <c r="HP52" s="183" t="s">
        <v>348</v>
      </c>
      <c r="HQ52" s="183" t="s">
        <v>348</v>
      </c>
      <c r="HR52" s="183" t="s">
        <v>348</v>
      </c>
      <c r="HS52" s="183" t="s">
        <v>348</v>
      </c>
      <c r="HT52" s="183" t="s">
        <v>348</v>
      </c>
      <c r="HU52" s="183" t="s">
        <v>348</v>
      </c>
      <c r="HV52" s="183" t="s">
        <v>348</v>
      </c>
      <c r="HW52" s="183" t="s">
        <v>348</v>
      </c>
      <c r="HX52" s="183" t="s">
        <v>348</v>
      </c>
      <c r="HY52" s="183" t="s">
        <v>348</v>
      </c>
      <c r="HZ52" s="183" t="s">
        <v>348</v>
      </c>
      <c r="IA52" s="183" t="s">
        <v>348</v>
      </c>
      <c r="IB52" s="183" t="s">
        <v>348</v>
      </c>
      <c r="IC52" s="183" t="s">
        <v>356</v>
      </c>
      <c r="ID52" s="183" t="s">
        <v>356</v>
      </c>
      <c r="IE52" s="183" t="s">
        <v>356</v>
      </c>
      <c r="IF52" s="183" t="s">
        <v>356</v>
      </c>
      <c r="IG52" s="183" t="s">
        <v>356</v>
      </c>
      <c r="IH52" s="183" t="s">
        <v>356</v>
      </c>
      <c r="II52" s="183" t="s">
        <v>356</v>
      </c>
      <c r="IJ52" s="183" t="s">
        <v>356</v>
      </c>
      <c r="IK52" s="183" t="s">
        <v>356</v>
      </c>
      <c r="IL52" s="183" t="s">
        <v>356</v>
      </c>
      <c r="IM52" s="183" t="s">
        <v>348</v>
      </c>
      <c r="IN52" s="183" t="s">
        <v>348</v>
      </c>
      <c r="IO52" s="183" t="s">
        <v>348</v>
      </c>
      <c r="IP52" s="183" t="s">
        <v>348</v>
      </c>
      <c r="IQ52" s="183" t="s">
        <v>348</v>
      </c>
      <c r="IR52" s="183" t="s">
        <v>348</v>
      </c>
      <c r="IS52" s="183" t="s">
        <v>348</v>
      </c>
      <c r="IT52" s="183" t="s">
        <v>356</v>
      </c>
      <c r="IU52" s="183" t="s">
        <v>356</v>
      </c>
      <c r="IV52" s="183" t="s">
        <v>356</v>
      </c>
      <c r="IW52" s="183" t="s">
        <v>356</v>
      </c>
      <c r="IX52" s="183" t="s">
        <v>348</v>
      </c>
      <c r="IY52" s="183" t="s">
        <v>348</v>
      </c>
      <c r="IZ52" s="183" t="s">
        <v>348</v>
      </c>
      <c r="JA52" s="183" t="s">
        <v>356</v>
      </c>
      <c r="JB52" s="183" t="s">
        <v>348</v>
      </c>
      <c r="JC52" s="183" t="s">
        <v>348</v>
      </c>
      <c r="JD52" s="183" t="s">
        <v>348</v>
      </c>
      <c r="JE52" s="183" t="s">
        <v>348</v>
      </c>
      <c r="JF52" s="183" t="s">
        <v>348</v>
      </c>
      <c r="JG52" s="183" t="s">
        <v>348</v>
      </c>
      <c r="JH52" s="183" t="s">
        <v>356</v>
      </c>
      <c r="JI52" s="183" t="s">
        <v>356</v>
      </c>
      <c r="JJ52" s="183" t="s">
        <v>356</v>
      </c>
      <c r="JK52" s="183" t="s">
        <v>356</v>
      </c>
      <c r="JL52" s="183" t="s">
        <v>356</v>
      </c>
      <c r="JM52" s="183" t="s">
        <v>348</v>
      </c>
      <c r="JN52" s="183" t="s">
        <v>348</v>
      </c>
      <c r="JO52" s="183" t="s">
        <v>348</v>
      </c>
      <c r="JP52" s="183" t="s">
        <v>348</v>
      </c>
      <c r="JQ52" s="183" t="s">
        <v>348</v>
      </c>
      <c r="JR52" s="183" t="s">
        <v>348</v>
      </c>
      <c r="JS52" s="183" t="s">
        <v>356</v>
      </c>
      <c r="JT52" s="183" t="s">
        <v>356</v>
      </c>
      <c r="JU52" s="183" t="s">
        <v>356</v>
      </c>
      <c r="JV52" s="183" t="s">
        <v>356</v>
      </c>
      <c r="JW52" s="183" t="s">
        <v>356</v>
      </c>
      <c r="JX52" s="183" t="s">
        <v>356</v>
      </c>
      <c r="JY52" s="183" t="s">
        <v>356</v>
      </c>
      <c r="JZ52" s="183" t="s">
        <v>356</v>
      </c>
      <c r="KA52" s="183" t="s">
        <v>356</v>
      </c>
      <c r="KB52" s="183" t="s">
        <v>356</v>
      </c>
      <c r="KC52" s="183" t="s">
        <v>356</v>
      </c>
      <c r="KD52" s="183" t="s">
        <v>356</v>
      </c>
      <c r="KE52" s="183" t="s">
        <v>356</v>
      </c>
      <c r="KF52" s="183" t="s">
        <v>356</v>
      </c>
      <c r="KG52" s="183" t="s">
        <v>356</v>
      </c>
      <c r="KH52" s="183" t="s">
        <v>356</v>
      </c>
      <c r="KI52" s="183" t="s">
        <v>356</v>
      </c>
      <c r="KJ52" s="183" t="s">
        <v>356</v>
      </c>
      <c r="KK52" s="183" t="s">
        <v>356</v>
      </c>
      <c r="KL52" s="183" t="s">
        <v>356</v>
      </c>
      <c r="KM52" s="183" t="s">
        <v>348</v>
      </c>
      <c r="KN52" s="183" t="s">
        <v>348</v>
      </c>
      <c r="KO52" s="183" t="s">
        <v>348</v>
      </c>
      <c r="KP52" s="183" t="s">
        <v>348</v>
      </c>
      <c r="KQ52" s="183" t="s">
        <v>348</v>
      </c>
      <c r="KR52" s="183" t="s">
        <v>348</v>
      </c>
      <c r="KS52" s="183" t="s">
        <v>348</v>
      </c>
      <c r="KT52" s="183" t="s">
        <v>348</v>
      </c>
      <c r="KU52" s="183" t="s">
        <v>348</v>
      </c>
      <c r="KV52" s="183" t="s">
        <v>348</v>
      </c>
      <c r="KW52" s="183" t="s">
        <v>348</v>
      </c>
      <c r="KX52" s="183" t="s">
        <v>348</v>
      </c>
      <c r="KY52" s="183" t="s">
        <v>348</v>
      </c>
      <c r="KZ52" s="183" t="s">
        <v>356</v>
      </c>
      <c r="LA52" s="183" t="s">
        <v>356</v>
      </c>
      <c r="LB52" s="183" t="s">
        <v>356</v>
      </c>
      <c r="LC52" s="183" t="s">
        <v>356</v>
      </c>
      <c r="LD52" s="183" t="s">
        <v>356</v>
      </c>
      <c r="LE52" s="183" t="s">
        <v>356</v>
      </c>
      <c r="LF52" s="183" t="s">
        <v>343</v>
      </c>
      <c r="LG52" s="183" t="s">
        <v>343</v>
      </c>
      <c r="LH52" s="183" t="s">
        <v>343</v>
      </c>
      <c r="LI52" s="183" t="s">
        <v>343</v>
      </c>
      <c r="LJ52" s="183" t="s">
        <v>343</v>
      </c>
      <c r="LK52" s="183" t="s">
        <v>356</v>
      </c>
      <c r="LL52" s="183" t="s">
        <v>356</v>
      </c>
      <c r="LM52" s="183" t="s">
        <v>356</v>
      </c>
      <c r="LN52" s="183" t="s">
        <v>356</v>
      </c>
      <c r="LO52" s="183" t="s">
        <v>343</v>
      </c>
      <c r="LP52" s="183" t="s">
        <v>356</v>
      </c>
      <c r="LQ52" s="183" t="s">
        <v>356</v>
      </c>
      <c r="LR52" s="183" t="s">
        <v>343</v>
      </c>
      <c r="LS52" s="183" t="s">
        <v>356</v>
      </c>
      <c r="LT52" s="183" t="s">
        <v>356</v>
      </c>
      <c r="LU52" s="183" t="s">
        <v>343</v>
      </c>
      <c r="LV52" s="183" t="s">
        <v>343</v>
      </c>
      <c r="LW52" s="183" t="s">
        <v>343</v>
      </c>
      <c r="LX52" s="183" t="s">
        <v>343</v>
      </c>
      <c r="LY52" s="183" t="s">
        <v>343</v>
      </c>
      <c r="LZ52" s="183" t="s">
        <v>343</v>
      </c>
      <c r="MA52" s="183" t="s">
        <v>343</v>
      </c>
      <c r="MB52" s="183" t="s">
        <v>343</v>
      </c>
      <c r="MC52" s="183" t="s">
        <v>343</v>
      </c>
      <c r="MD52" s="183" t="s">
        <v>343</v>
      </c>
      <c r="ME52" s="183" t="s">
        <v>343</v>
      </c>
      <c r="MF52" s="183" t="s">
        <v>343</v>
      </c>
      <c r="MG52" s="183" t="s">
        <v>343</v>
      </c>
      <c r="MH52" s="183" t="s">
        <v>343</v>
      </c>
      <c r="MI52" s="183" t="s">
        <v>343</v>
      </c>
      <c r="MJ52" s="183" t="s">
        <v>343</v>
      </c>
      <c r="MK52" s="183" t="s">
        <v>343</v>
      </c>
      <c r="ML52" s="183" t="s">
        <v>343</v>
      </c>
      <c r="MM52" s="183" t="s">
        <v>343</v>
      </c>
      <c r="MN52" s="183" t="s">
        <v>343</v>
      </c>
      <c r="MO52" s="183" t="s">
        <v>343</v>
      </c>
      <c r="MP52" s="183" t="s">
        <v>356</v>
      </c>
      <c r="MQ52" s="183" t="s">
        <v>356</v>
      </c>
      <c r="MR52" s="183" t="s">
        <v>356</v>
      </c>
      <c r="MS52" s="183" t="s">
        <v>356</v>
      </c>
      <c r="MT52" s="183" t="s">
        <v>356</v>
      </c>
      <c r="MU52" s="183" t="s">
        <v>356</v>
      </c>
      <c r="MV52" s="183" t="s">
        <v>356</v>
      </c>
      <c r="MW52" s="183" t="s">
        <v>356</v>
      </c>
      <c r="MX52" s="183" t="s">
        <v>356</v>
      </c>
      <c r="MY52" s="183" t="s">
        <v>356</v>
      </c>
      <c r="MZ52" s="183" t="s">
        <v>356</v>
      </c>
      <c r="NA52" s="183" t="s">
        <v>356</v>
      </c>
      <c r="NB52" s="183" t="s">
        <v>356</v>
      </c>
      <c r="NC52" s="183" t="s">
        <v>356</v>
      </c>
      <c r="ND52" s="183" t="s">
        <v>356</v>
      </c>
      <c r="NE52" s="183" t="s">
        <v>356</v>
      </c>
      <c r="NF52" s="183" t="s">
        <v>356</v>
      </c>
      <c r="NG52" s="183" t="s">
        <v>356</v>
      </c>
      <c r="NH52" s="183" t="s">
        <v>356</v>
      </c>
      <c r="NI52" s="183" t="s">
        <v>356</v>
      </c>
      <c r="NJ52" s="183" t="s">
        <v>356</v>
      </c>
      <c r="NK52" s="183" t="s">
        <v>356</v>
      </c>
      <c r="NL52" s="183" t="s">
        <v>356</v>
      </c>
      <c r="NM52" s="183" t="s">
        <v>356</v>
      </c>
      <c r="NN52" s="183" t="s">
        <v>356</v>
      </c>
      <c r="NO52" s="183" t="s">
        <v>356</v>
      </c>
      <c r="NP52" s="183" t="s">
        <v>356</v>
      </c>
      <c r="NQ52" s="183" t="s">
        <v>356</v>
      </c>
      <c r="NR52" s="183" t="s">
        <v>356</v>
      </c>
      <c r="NS52" s="183" t="s">
        <v>356</v>
      </c>
      <c r="NT52" s="183" t="s">
        <v>356</v>
      </c>
      <c r="NU52" s="183" t="s">
        <v>356</v>
      </c>
      <c r="NV52" s="183" t="s">
        <v>356</v>
      </c>
      <c r="NW52" s="183" t="s">
        <v>356</v>
      </c>
      <c r="NX52" s="183" t="s">
        <v>356</v>
      </c>
      <c r="NY52" s="183" t="s">
        <v>356</v>
      </c>
      <c r="NZ52" s="183" t="s">
        <v>343</v>
      </c>
      <c r="OA52" s="183" t="s">
        <v>343</v>
      </c>
      <c r="OB52" s="183" t="s">
        <v>343</v>
      </c>
      <c r="OC52" s="183" t="s">
        <v>343</v>
      </c>
      <c r="OD52" s="183" t="s">
        <v>343</v>
      </c>
      <c r="OE52" s="183" t="s">
        <v>343</v>
      </c>
      <c r="OF52" s="183" t="s">
        <v>343</v>
      </c>
      <c r="OG52" s="183" t="s">
        <v>343</v>
      </c>
      <c r="OH52" s="183" t="s">
        <v>343</v>
      </c>
      <c r="OI52" s="183" t="s">
        <v>343</v>
      </c>
      <c r="OJ52" s="183" t="s">
        <v>343</v>
      </c>
      <c r="OK52" s="183" t="s">
        <v>343</v>
      </c>
      <c r="OL52" s="183" t="s">
        <v>343</v>
      </c>
      <c r="OM52" s="183" t="s">
        <v>343</v>
      </c>
      <c r="ON52" s="183" t="s">
        <v>343</v>
      </c>
      <c r="OO52" s="183" t="s">
        <v>343</v>
      </c>
      <c r="OP52" s="183" t="s">
        <v>356</v>
      </c>
      <c r="OQ52" s="183" t="s">
        <v>356</v>
      </c>
      <c r="OR52" s="183" t="s">
        <v>356</v>
      </c>
      <c r="OS52" s="183" t="s">
        <v>356</v>
      </c>
      <c r="OT52" s="183" t="s">
        <v>356</v>
      </c>
      <c r="OU52" s="183" t="s">
        <v>356</v>
      </c>
      <c r="OV52" s="183" t="s">
        <v>356</v>
      </c>
      <c r="OW52" s="183" t="s">
        <v>356</v>
      </c>
      <c r="OX52" s="183" t="s">
        <v>356</v>
      </c>
      <c r="OY52" s="183" t="s">
        <v>356</v>
      </c>
      <c r="OZ52" s="183" t="s">
        <v>356</v>
      </c>
      <c r="PA52" s="183" t="s">
        <v>356</v>
      </c>
      <c r="PB52" s="183" t="s">
        <v>356</v>
      </c>
      <c r="PC52" s="183" t="s">
        <v>356</v>
      </c>
      <c r="PD52" s="183" t="s">
        <v>356</v>
      </c>
      <c r="PE52" s="183" t="s">
        <v>356</v>
      </c>
      <c r="PF52" s="183" t="s">
        <v>356</v>
      </c>
      <c r="PG52" s="183" t="s">
        <v>356</v>
      </c>
      <c r="PH52" s="183" t="s">
        <v>356</v>
      </c>
      <c r="PI52" s="183" t="s">
        <v>356</v>
      </c>
      <c r="PJ52" s="183" t="s">
        <v>356</v>
      </c>
      <c r="PK52" s="183" t="s">
        <v>356</v>
      </c>
      <c r="PL52" s="183" t="s">
        <v>356</v>
      </c>
      <c r="PM52" s="183" t="s">
        <v>356</v>
      </c>
      <c r="PN52" s="183" t="s">
        <v>356</v>
      </c>
      <c r="PO52" s="183" t="s">
        <v>356</v>
      </c>
      <c r="PP52" s="183" t="s">
        <v>356</v>
      </c>
      <c r="PQ52" s="183" t="s">
        <v>356</v>
      </c>
      <c r="PR52" s="183" t="s">
        <v>356</v>
      </c>
      <c r="PS52" s="183" t="s">
        <v>356</v>
      </c>
      <c r="PT52" s="183" t="s">
        <v>356</v>
      </c>
      <c r="PU52" s="183" t="s">
        <v>356</v>
      </c>
      <c r="PV52" s="183" t="s">
        <v>356</v>
      </c>
      <c r="PW52" s="183" t="s">
        <v>356</v>
      </c>
      <c r="PX52" s="183" t="s">
        <v>343</v>
      </c>
      <c r="PY52" s="183" t="s">
        <v>343</v>
      </c>
      <c r="PZ52" s="183" t="s">
        <v>343</v>
      </c>
      <c r="QA52" s="183" t="s">
        <v>343</v>
      </c>
      <c r="QB52" s="183" t="s">
        <v>343</v>
      </c>
      <c r="QC52" s="183" t="s">
        <v>343</v>
      </c>
      <c r="QD52" s="183" t="s">
        <v>343</v>
      </c>
      <c r="QE52" s="183" t="s">
        <v>343</v>
      </c>
      <c r="QF52" s="183" t="s">
        <v>343</v>
      </c>
      <c r="QG52" s="183" t="s">
        <v>356</v>
      </c>
      <c r="QH52" s="183" t="s">
        <v>343</v>
      </c>
      <c r="QI52" s="183" t="s">
        <v>343</v>
      </c>
      <c r="QJ52" s="183" t="s">
        <v>343</v>
      </c>
      <c r="QK52" s="183" t="s">
        <v>343</v>
      </c>
      <c r="QL52" s="183" t="s">
        <v>343</v>
      </c>
      <c r="QM52" s="183" t="s">
        <v>343</v>
      </c>
      <c r="QN52" s="183" t="s">
        <v>343</v>
      </c>
      <c r="QO52" s="183" t="s">
        <v>343</v>
      </c>
      <c r="QP52" s="183" t="s">
        <v>343</v>
      </c>
      <c r="QQ52" s="183" t="s">
        <v>343</v>
      </c>
      <c r="QR52" s="183" t="s">
        <v>343</v>
      </c>
      <c r="QS52" s="183" t="s">
        <v>343</v>
      </c>
      <c r="QT52" s="183" t="s">
        <v>343</v>
      </c>
      <c r="QU52" s="183" t="s">
        <v>343</v>
      </c>
      <c r="QV52" s="183" t="s">
        <v>343</v>
      </c>
      <c r="QW52" s="183" t="s">
        <v>343</v>
      </c>
      <c r="QX52" s="183" t="s">
        <v>343</v>
      </c>
      <c r="QY52" s="183" t="s">
        <v>343</v>
      </c>
      <c r="QZ52" s="183" t="s">
        <v>343</v>
      </c>
      <c r="RA52" s="183" t="s">
        <v>343</v>
      </c>
      <c r="RB52" s="183" t="s">
        <v>343</v>
      </c>
      <c r="RC52" s="183" t="s">
        <v>343</v>
      </c>
      <c r="RD52" s="183" t="s">
        <v>343</v>
      </c>
      <c r="RE52" s="183" t="s">
        <v>343</v>
      </c>
      <c r="RF52" s="183" t="s">
        <v>343</v>
      </c>
      <c r="RG52" s="183" t="s">
        <v>343</v>
      </c>
      <c r="RH52" s="183" t="s">
        <v>343</v>
      </c>
      <c r="RI52" s="183" t="s">
        <v>343</v>
      </c>
      <c r="RJ52" s="183" t="s">
        <v>343</v>
      </c>
      <c r="RK52" s="183" t="s">
        <v>343</v>
      </c>
      <c r="RL52" s="183" t="s">
        <v>343</v>
      </c>
      <c r="RM52" s="183" t="s">
        <v>343</v>
      </c>
      <c r="RN52" s="183" t="s">
        <v>343</v>
      </c>
      <c r="RO52" s="183" t="s">
        <v>343</v>
      </c>
      <c r="RP52" s="183" t="s">
        <v>343</v>
      </c>
      <c r="RQ52" s="183" t="s">
        <v>343</v>
      </c>
      <c r="RR52" s="183" t="s">
        <v>343</v>
      </c>
      <c r="RS52" s="183" t="s">
        <v>343</v>
      </c>
      <c r="RT52" s="183" t="s">
        <v>343</v>
      </c>
      <c r="RU52" s="183" t="s">
        <v>343</v>
      </c>
      <c r="RV52" s="183" t="s">
        <v>343</v>
      </c>
      <c r="RW52" s="183" t="s">
        <v>343</v>
      </c>
      <c r="RX52" s="183" t="s">
        <v>343</v>
      </c>
      <c r="RY52" s="183" t="s">
        <v>343</v>
      </c>
      <c r="RZ52" s="183" t="s">
        <v>343</v>
      </c>
      <c r="SA52" s="183" t="s">
        <v>343</v>
      </c>
      <c r="SB52" s="183" t="s">
        <v>343</v>
      </c>
      <c r="SC52" s="183" t="s">
        <v>356</v>
      </c>
      <c r="SD52" s="183" t="s">
        <v>356</v>
      </c>
      <c r="SE52" s="183" t="s">
        <v>356</v>
      </c>
      <c r="SF52" s="183" t="s">
        <v>356</v>
      </c>
      <c r="SG52" s="183" t="s">
        <v>356</v>
      </c>
      <c r="SH52" s="183" t="s">
        <v>356</v>
      </c>
      <c r="SI52" s="183" t="s">
        <v>356</v>
      </c>
      <c r="SJ52" s="183" t="s">
        <v>356</v>
      </c>
      <c r="SK52" s="183" t="s">
        <v>356</v>
      </c>
      <c r="SL52" s="183" t="s">
        <v>356</v>
      </c>
      <c r="SM52" s="183" t="s">
        <v>356</v>
      </c>
      <c r="SN52" s="183" t="s">
        <v>356</v>
      </c>
      <c r="SO52" s="183" t="s">
        <v>356</v>
      </c>
      <c r="SP52" s="183" t="s">
        <v>356</v>
      </c>
      <c r="SQ52" s="183" t="s">
        <v>356</v>
      </c>
      <c r="SR52" s="183" t="s">
        <v>356</v>
      </c>
      <c r="SS52" s="183" t="s">
        <v>356</v>
      </c>
      <c r="ST52" s="183" t="s">
        <v>356</v>
      </c>
      <c r="SU52" s="183" t="s">
        <v>356</v>
      </c>
      <c r="SV52" s="183" t="s">
        <v>356</v>
      </c>
      <c r="SW52" s="183" t="s">
        <v>356</v>
      </c>
      <c r="SX52" s="183" t="s">
        <v>356</v>
      </c>
      <c r="SY52" s="183" t="s">
        <v>356</v>
      </c>
      <c r="SZ52" s="183" t="s">
        <v>356</v>
      </c>
      <c r="TA52" s="183" t="s">
        <v>356</v>
      </c>
      <c r="TB52" s="183" t="s">
        <v>356</v>
      </c>
      <c r="TC52" s="183" t="s">
        <v>356</v>
      </c>
      <c r="TD52" s="183" t="s">
        <v>356</v>
      </c>
      <c r="TE52" s="183" t="s">
        <v>343</v>
      </c>
      <c r="TF52" s="183" t="s">
        <v>356</v>
      </c>
      <c r="TG52" s="183" t="s">
        <v>356</v>
      </c>
      <c r="TH52" s="183" t="s">
        <v>356</v>
      </c>
      <c r="TI52" s="183" t="s">
        <v>356</v>
      </c>
      <c r="TJ52" s="183" t="s">
        <v>356</v>
      </c>
      <c r="TK52" s="183" t="s">
        <v>356</v>
      </c>
      <c r="TL52" s="183" t="s">
        <v>356</v>
      </c>
      <c r="TM52" s="183" t="s">
        <v>356</v>
      </c>
      <c r="TN52" s="183" t="s">
        <v>356</v>
      </c>
      <c r="TO52" s="183" t="s">
        <v>356</v>
      </c>
      <c r="TP52" s="183" t="s">
        <v>356</v>
      </c>
      <c r="TQ52" s="183" t="s">
        <v>356</v>
      </c>
      <c r="TR52" s="183" t="s">
        <v>356</v>
      </c>
      <c r="TS52" s="183" t="s">
        <v>356</v>
      </c>
      <c r="TT52" s="183" t="s">
        <v>343</v>
      </c>
      <c r="TU52" s="183" t="s">
        <v>343</v>
      </c>
      <c r="TV52" s="183" t="s">
        <v>343</v>
      </c>
      <c r="TW52" s="183" t="s">
        <v>343</v>
      </c>
      <c r="TX52" s="183" t="s">
        <v>356</v>
      </c>
      <c r="TY52" s="183" t="s">
        <v>356</v>
      </c>
      <c r="TZ52" s="183" t="s">
        <v>356</v>
      </c>
      <c r="UA52" s="183" t="s">
        <v>356</v>
      </c>
      <c r="UB52" s="183" t="s">
        <v>356</v>
      </c>
      <c r="UC52" s="183" t="s">
        <v>356</v>
      </c>
      <c r="UD52" s="183" t="s">
        <v>356</v>
      </c>
      <c r="UE52" s="183" t="s">
        <v>356</v>
      </c>
      <c r="UF52" s="183" t="s">
        <v>356</v>
      </c>
      <c r="UG52" s="183" t="s">
        <v>356</v>
      </c>
      <c r="UH52" s="183" t="s">
        <v>356</v>
      </c>
      <c r="UI52" s="183" t="s">
        <v>343</v>
      </c>
      <c r="UJ52" s="183" t="s">
        <v>343</v>
      </c>
      <c r="UK52" s="183" t="s">
        <v>343</v>
      </c>
      <c r="UL52" s="183" t="s">
        <v>343</v>
      </c>
      <c r="UM52" s="183" t="s">
        <v>343</v>
      </c>
      <c r="UN52" s="183" t="s">
        <v>356</v>
      </c>
      <c r="UO52" s="183" t="s">
        <v>356</v>
      </c>
      <c r="UP52" s="183" t="s">
        <v>356</v>
      </c>
      <c r="UQ52" s="183" t="s">
        <v>343</v>
      </c>
      <c r="UR52" s="183" t="s">
        <v>343</v>
      </c>
      <c r="US52" s="183" t="s">
        <v>343</v>
      </c>
      <c r="UT52" s="183" t="s">
        <v>343</v>
      </c>
      <c r="UU52" s="183" t="s">
        <v>343</v>
      </c>
      <c r="UV52" s="183" t="s">
        <v>343</v>
      </c>
      <c r="UW52" s="183" t="s">
        <v>343</v>
      </c>
      <c r="UX52" s="183" t="s">
        <v>343</v>
      </c>
      <c r="UY52" s="183" t="s">
        <v>343</v>
      </c>
      <c r="UZ52" s="183" t="s">
        <v>343</v>
      </c>
      <c r="VA52" s="183" t="s">
        <v>343</v>
      </c>
      <c r="VB52" s="183" t="s">
        <v>343</v>
      </c>
      <c r="VC52" s="183" t="s">
        <v>343</v>
      </c>
      <c r="VD52" s="183" t="s">
        <v>343</v>
      </c>
      <c r="VE52" s="183" t="s">
        <v>343</v>
      </c>
      <c r="VF52" s="183" t="s">
        <v>343</v>
      </c>
      <c r="VG52" s="183" t="s">
        <v>343</v>
      </c>
      <c r="VH52" s="183" t="s">
        <v>343</v>
      </c>
      <c r="VI52" s="183" t="s">
        <v>343</v>
      </c>
      <c r="VJ52" s="183" t="s">
        <v>343</v>
      </c>
      <c r="VK52" s="183" t="s">
        <v>343</v>
      </c>
      <c r="VL52" s="183" t="s">
        <v>343</v>
      </c>
      <c r="VM52" s="183" t="s">
        <v>343</v>
      </c>
      <c r="VN52" s="183" t="s">
        <v>343</v>
      </c>
      <c r="VO52" s="183" t="s">
        <v>343</v>
      </c>
      <c r="VP52" s="183" t="s">
        <v>343</v>
      </c>
      <c r="VQ52" s="183" t="s">
        <v>343</v>
      </c>
      <c r="VR52" s="183" t="s">
        <v>343</v>
      </c>
      <c r="VS52" s="183" t="s">
        <v>343</v>
      </c>
      <c r="VT52" s="183" t="s">
        <v>343</v>
      </c>
      <c r="VU52" s="183" t="s">
        <v>343</v>
      </c>
      <c r="VV52" s="183" t="s">
        <v>343</v>
      </c>
      <c r="VW52" s="183" t="s">
        <v>343</v>
      </c>
      <c r="VX52" s="183" t="s">
        <v>343</v>
      </c>
      <c r="VY52" s="183" t="s">
        <v>343</v>
      </c>
      <c r="VZ52" s="183" t="s">
        <v>343</v>
      </c>
      <c r="WA52" s="183" t="s">
        <v>343</v>
      </c>
      <c r="WB52" s="183" t="s">
        <v>343</v>
      </c>
      <c r="WC52" s="183" t="s">
        <v>343</v>
      </c>
      <c r="WD52" s="183" t="s">
        <v>343</v>
      </c>
      <c r="WE52" s="183" t="s">
        <v>343</v>
      </c>
      <c r="WF52" s="183" t="s">
        <v>343</v>
      </c>
      <c r="WG52" s="183" t="s">
        <v>343</v>
      </c>
      <c r="WH52" s="183" t="s">
        <v>343</v>
      </c>
      <c r="WI52" s="183" t="s">
        <v>343</v>
      </c>
      <c r="WJ52" s="183" t="s">
        <v>343</v>
      </c>
      <c r="WK52" s="183" t="s">
        <v>343</v>
      </c>
      <c r="WL52" s="183" t="s">
        <v>343</v>
      </c>
      <c r="WM52" s="183" t="s">
        <v>343</v>
      </c>
      <c r="WN52" s="183" t="s">
        <v>343</v>
      </c>
      <c r="WO52" s="183" t="s">
        <v>343</v>
      </c>
      <c r="ZL52" s="182" t="str">
        <f t="shared" si="1"/>
        <v>CARACAS -MADRID</v>
      </c>
      <c r="ZM52" s="183" t="s">
        <v>541</v>
      </c>
      <c r="ZN52" s="182" t="s">
        <v>542</v>
      </c>
      <c r="ZO52" s="182">
        <v>6996</v>
      </c>
      <c r="ZP52" s="198">
        <v>1462.164</v>
      </c>
      <c r="ZQ52" s="193"/>
      <c r="ZR52" s="193"/>
      <c r="ZS52" s="193"/>
      <c r="ZT52" s="193"/>
    </row>
    <row r="53" spans="1:696" s="192" customFormat="1" ht="28.8">
      <c r="A53" s="91"/>
      <c r="B53" s="91"/>
      <c r="C53" s="91"/>
      <c r="D53" s="735"/>
      <c r="E53" s="194" t="s">
        <v>514</v>
      </c>
      <c r="F53" s="183" t="s">
        <v>517</v>
      </c>
      <c r="G53" s="183" t="s">
        <v>517</v>
      </c>
      <c r="H53" s="183" t="s">
        <v>517</v>
      </c>
      <c r="I53" s="183" t="s">
        <v>517</v>
      </c>
      <c r="J53" s="183" t="s">
        <v>517</v>
      </c>
      <c r="K53" s="183" t="s">
        <v>517</v>
      </c>
      <c r="L53" s="183" t="s">
        <v>517</v>
      </c>
      <c r="M53" s="183" t="s">
        <v>517</v>
      </c>
      <c r="N53" s="183" t="s">
        <v>517</v>
      </c>
      <c r="O53" s="183" t="s">
        <v>517</v>
      </c>
      <c r="P53" s="183" t="s">
        <v>517</v>
      </c>
      <c r="Q53" s="183" t="s">
        <v>517</v>
      </c>
      <c r="R53" s="183" t="s">
        <v>517</v>
      </c>
      <c r="S53" s="183" t="s">
        <v>517</v>
      </c>
      <c r="T53" s="183" t="s">
        <v>517</v>
      </c>
      <c r="U53" s="183" t="s">
        <v>517</v>
      </c>
      <c r="V53" s="183" t="s">
        <v>517</v>
      </c>
      <c r="W53" s="183" t="s">
        <v>517</v>
      </c>
      <c r="X53" s="183" t="s">
        <v>517</v>
      </c>
      <c r="Y53" s="183" t="s">
        <v>517</v>
      </c>
      <c r="Z53" s="183" t="s">
        <v>604</v>
      </c>
      <c r="AA53" s="183" t="s">
        <v>587</v>
      </c>
      <c r="AB53" s="183" t="s">
        <v>517</v>
      </c>
      <c r="AC53" s="183" t="s">
        <v>517</v>
      </c>
      <c r="AD53" s="183" t="s">
        <v>517</v>
      </c>
      <c r="AE53" s="183" t="s">
        <v>587</v>
      </c>
      <c r="AF53" s="183" t="s">
        <v>587</v>
      </c>
      <c r="AG53" s="183" t="s">
        <v>604</v>
      </c>
      <c r="AH53" s="183" t="s">
        <v>586</v>
      </c>
      <c r="AI53" s="183" t="s">
        <v>517</v>
      </c>
      <c r="AJ53" s="183" t="s">
        <v>517</v>
      </c>
      <c r="AK53" s="183" t="s">
        <v>517</v>
      </c>
      <c r="AL53" s="183" t="s">
        <v>517</v>
      </c>
      <c r="AM53" s="183" t="s">
        <v>517</v>
      </c>
      <c r="AN53" s="183" t="s">
        <v>517</v>
      </c>
      <c r="AO53" s="183" t="s">
        <v>517</v>
      </c>
      <c r="AP53" s="183" t="s">
        <v>517</v>
      </c>
      <c r="AQ53" s="183" t="s">
        <v>606</v>
      </c>
      <c r="AR53" s="183" t="s">
        <v>606</v>
      </c>
      <c r="AS53" s="183" t="s">
        <v>517</v>
      </c>
      <c r="AT53" s="183" t="s">
        <v>517</v>
      </c>
      <c r="AU53" s="183" t="s">
        <v>607</v>
      </c>
      <c r="AV53" s="183" t="s">
        <v>607</v>
      </c>
      <c r="AW53" s="183" t="s">
        <v>607</v>
      </c>
      <c r="AX53" s="183" t="s">
        <v>610</v>
      </c>
      <c r="AY53" s="183" t="s">
        <v>662</v>
      </c>
      <c r="AZ53" s="183" t="s">
        <v>662</v>
      </c>
      <c r="BA53" s="183" t="s">
        <v>526</v>
      </c>
      <c r="BB53" s="183" t="s">
        <v>517</v>
      </c>
      <c r="BC53" s="183" t="s">
        <v>517</v>
      </c>
      <c r="BD53" s="183" t="s">
        <v>517</v>
      </c>
      <c r="BE53" s="183" t="s">
        <v>517</v>
      </c>
      <c r="BF53" s="183" t="s">
        <v>517</v>
      </c>
      <c r="BG53" s="183" t="s">
        <v>517</v>
      </c>
      <c r="BH53" s="183" t="s">
        <v>517</v>
      </c>
      <c r="BI53" s="183" t="s">
        <v>517</v>
      </c>
      <c r="BJ53" s="183" t="s">
        <v>517</v>
      </c>
      <c r="BK53" s="183" t="s">
        <v>517</v>
      </c>
      <c r="BL53" s="183" t="s">
        <v>517</v>
      </c>
      <c r="BM53" s="183" t="s">
        <v>526</v>
      </c>
      <c r="BN53" s="183" t="s">
        <v>517</v>
      </c>
      <c r="BO53" s="183" t="s">
        <v>517</v>
      </c>
      <c r="BP53" s="183" t="s">
        <v>517</v>
      </c>
      <c r="BQ53" s="183" t="s">
        <v>517</v>
      </c>
      <c r="BR53" s="183" t="s">
        <v>517</v>
      </c>
      <c r="BS53" s="183" t="s">
        <v>517</v>
      </c>
      <c r="BT53" s="183" t="s">
        <v>517</v>
      </c>
      <c r="BU53" s="183" t="s">
        <v>517</v>
      </c>
      <c r="BV53" s="183" t="s">
        <v>517</v>
      </c>
      <c r="BW53" s="183" t="s">
        <v>517</v>
      </c>
      <c r="BX53" s="183" t="s">
        <v>567</v>
      </c>
      <c r="BY53" s="183" t="s">
        <v>567</v>
      </c>
      <c r="BZ53" s="183" t="s">
        <v>567</v>
      </c>
      <c r="CA53" s="183" t="s">
        <v>697</v>
      </c>
      <c r="CB53" s="183" t="s">
        <v>517</v>
      </c>
      <c r="CC53" s="183" t="s">
        <v>517</v>
      </c>
      <c r="CD53" s="183" t="s">
        <v>526</v>
      </c>
      <c r="CE53" s="183" t="s">
        <v>526</v>
      </c>
      <c r="CF53" s="183" t="s">
        <v>526</v>
      </c>
      <c r="CG53" s="183" t="s">
        <v>517</v>
      </c>
      <c r="CH53" s="183" t="s">
        <v>567</v>
      </c>
      <c r="CI53" s="183" t="s">
        <v>517</v>
      </c>
      <c r="CJ53" s="183" t="s">
        <v>517</v>
      </c>
      <c r="CK53" s="183" t="s">
        <v>517</v>
      </c>
      <c r="CL53" s="183" t="s">
        <v>517</v>
      </c>
      <c r="CM53" s="183" t="s">
        <v>517</v>
      </c>
      <c r="CN53" s="183" t="s">
        <v>517</v>
      </c>
      <c r="CO53" s="183" t="s">
        <v>517</v>
      </c>
      <c r="CP53" s="183" t="s">
        <v>517</v>
      </c>
      <c r="CQ53" s="183" t="s">
        <v>517</v>
      </c>
      <c r="CR53" s="183" t="s">
        <v>517</v>
      </c>
      <c r="CS53" s="183" t="s">
        <v>517</v>
      </c>
      <c r="CT53" s="183" t="s">
        <v>517</v>
      </c>
      <c r="CU53" s="183" t="s">
        <v>517</v>
      </c>
      <c r="CV53" s="183" t="s">
        <v>517</v>
      </c>
      <c r="CW53" s="183" t="s">
        <v>517</v>
      </c>
      <c r="CX53" s="183" t="s">
        <v>520</v>
      </c>
      <c r="CY53" s="183" t="s">
        <v>517</v>
      </c>
      <c r="CZ53" s="183" t="s">
        <v>517</v>
      </c>
      <c r="DA53" s="183" t="s">
        <v>517</v>
      </c>
      <c r="DB53" s="183" t="s">
        <v>517</v>
      </c>
      <c r="DC53" s="183" t="s">
        <v>517</v>
      </c>
      <c r="DD53" s="183" t="s">
        <v>517</v>
      </c>
      <c r="DE53" s="183" t="s">
        <v>517</v>
      </c>
      <c r="DF53" s="183" t="s">
        <v>517</v>
      </c>
      <c r="DG53" s="183" t="s">
        <v>517</v>
      </c>
      <c r="DH53" s="183" t="s">
        <v>517</v>
      </c>
      <c r="DI53" s="183" t="s">
        <v>517</v>
      </c>
      <c r="DJ53" s="183" t="s">
        <v>530</v>
      </c>
      <c r="DK53" s="183" t="s">
        <v>530</v>
      </c>
      <c r="DL53" s="183" t="s">
        <v>542</v>
      </c>
      <c r="DM53" s="183" t="s">
        <v>517</v>
      </c>
      <c r="DN53" s="183" t="s">
        <v>517</v>
      </c>
      <c r="DO53" s="183" t="s">
        <v>517</v>
      </c>
      <c r="DP53" s="183" t="s">
        <v>517</v>
      </c>
      <c r="DQ53" s="183" t="s">
        <v>517</v>
      </c>
      <c r="DR53" s="183" t="s">
        <v>517</v>
      </c>
      <c r="DS53" s="183" t="s">
        <v>517</v>
      </c>
      <c r="DT53" s="183" t="s">
        <v>517</v>
      </c>
      <c r="DU53" s="183" t="s">
        <v>517</v>
      </c>
      <c r="DV53" s="183" t="s">
        <v>517</v>
      </c>
      <c r="DW53" s="183" t="s">
        <v>517</v>
      </c>
      <c r="DX53" s="183" t="s">
        <v>524</v>
      </c>
      <c r="DY53" s="183" t="s">
        <v>524</v>
      </c>
      <c r="DZ53" s="183" t="s">
        <v>526</v>
      </c>
      <c r="EA53" s="183" t="s">
        <v>526</v>
      </c>
      <c r="EB53" s="183" t="s">
        <v>517</v>
      </c>
      <c r="EC53" s="183" t="s">
        <v>517</v>
      </c>
      <c r="ED53" s="183" t="s">
        <v>517</v>
      </c>
      <c r="EE53" s="183" t="s">
        <v>517</v>
      </c>
      <c r="EF53" s="183" t="s">
        <v>517</v>
      </c>
      <c r="EG53" s="183" t="s">
        <v>517</v>
      </c>
      <c r="EH53" s="183" t="s">
        <v>517</v>
      </c>
      <c r="EI53" s="183" t="s">
        <v>517</v>
      </c>
      <c r="EJ53" s="183" t="s">
        <v>517</v>
      </c>
      <c r="EK53" s="183" t="s">
        <v>517</v>
      </c>
      <c r="EL53" s="183" t="s">
        <v>517</v>
      </c>
      <c r="EM53" s="183" t="s">
        <v>517</v>
      </c>
      <c r="EN53" s="183" t="s">
        <v>517</v>
      </c>
      <c r="EO53" s="183" t="s">
        <v>517</v>
      </c>
      <c r="EP53" s="183" t="s">
        <v>517</v>
      </c>
      <c r="EQ53" s="183" t="s">
        <v>526</v>
      </c>
      <c r="ER53" s="183" t="s">
        <v>517</v>
      </c>
      <c r="ES53" s="183" t="s">
        <v>517</v>
      </c>
      <c r="ET53" s="183" t="s">
        <v>517</v>
      </c>
      <c r="EU53" s="183" t="s">
        <v>517</v>
      </c>
      <c r="EV53" s="183" t="s">
        <v>517</v>
      </c>
      <c r="EW53" s="183" t="s">
        <v>517</v>
      </c>
      <c r="EX53" s="183" t="s">
        <v>620</v>
      </c>
      <c r="EY53" s="183" t="s">
        <v>620</v>
      </c>
      <c r="EZ53" s="183" t="s">
        <v>620</v>
      </c>
      <c r="FA53" s="183" t="s">
        <v>620</v>
      </c>
      <c r="FB53" s="183" t="s">
        <v>643</v>
      </c>
      <c r="FC53" s="183" t="s">
        <v>517</v>
      </c>
      <c r="FD53" s="183" t="s">
        <v>621</v>
      </c>
      <c r="FE53" s="183" t="s">
        <v>621</v>
      </c>
      <c r="FF53" s="183" t="s">
        <v>546</v>
      </c>
      <c r="FG53" s="183" t="s">
        <v>546</v>
      </c>
      <c r="FH53" s="183" t="s">
        <v>546</v>
      </c>
      <c r="FI53" s="183" t="s">
        <v>546</v>
      </c>
      <c r="FJ53" s="183" t="s">
        <v>546</v>
      </c>
      <c r="FK53" s="183" t="s">
        <v>546</v>
      </c>
      <c r="FL53" s="183" t="s">
        <v>546</v>
      </c>
      <c r="FM53" s="183" t="s">
        <v>546</v>
      </c>
      <c r="FN53" s="183" t="s">
        <v>546</v>
      </c>
      <c r="FO53" s="183" t="s">
        <v>546</v>
      </c>
      <c r="FP53" s="183" t="s">
        <v>546</v>
      </c>
      <c r="FQ53" s="183" t="s">
        <v>546</v>
      </c>
      <c r="FR53" s="183" t="s">
        <v>546</v>
      </c>
      <c r="FS53" s="183" t="s">
        <v>546</v>
      </c>
      <c r="FT53" s="183" t="s">
        <v>546</v>
      </c>
      <c r="FU53" s="183" t="s">
        <v>546</v>
      </c>
      <c r="FV53" s="183" t="s">
        <v>546</v>
      </c>
      <c r="FW53" s="183" t="s">
        <v>546</v>
      </c>
      <c r="FX53" s="183" t="s">
        <v>546</v>
      </c>
      <c r="FY53" s="183" t="s">
        <v>546</v>
      </c>
      <c r="FZ53" s="183" t="s">
        <v>517</v>
      </c>
      <c r="GA53" s="183" t="s">
        <v>517</v>
      </c>
      <c r="GB53" s="183" t="s">
        <v>517</v>
      </c>
      <c r="GC53" s="183" t="s">
        <v>517</v>
      </c>
      <c r="GD53" s="183" t="s">
        <v>517</v>
      </c>
      <c r="GE53" s="183" t="s">
        <v>517</v>
      </c>
      <c r="GF53" s="183" t="s">
        <v>517</v>
      </c>
      <c r="GG53" s="183" t="s">
        <v>517</v>
      </c>
      <c r="GH53" s="183" t="s">
        <v>517</v>
      </c>
      <c r="GI53" s="183" t="s">
        <v>517</v>
      </c>
      <c r="GJ53" s="183" t="s">
        <v>517</v>
      </c>
      <c r="GK53" s="183" t="s">
        <v>517</v>
      </c>
      <c r="GL53" s="183" t="s">
        <v>517</v>
      </c>
      <c r="GM53" s="183" t="s">
        <v>517</v>
      </c>
      <c r="GN53" s="183" t="s">
        <v>517</v>
      </c>
      <c r="GO53" s="183" t="s">
        <v>517</v>
      </c>
      <c r="GP53" s="183" t="s">
        <v>517</v>
      </c>
      <c r="GQ53" s="183" t="s">
        <v>517</v>
      </c>
      <c r="GR53" s="183" t="s">
        <v>517</v>
      </c>
      <c r="GS53" s="183" t="s">
        <v>517</v>
      </c>
      <c r="GT53" s="183" t="s">
        <v>517</v>
      </c>
      <c r="GU53" s="183" t="s">
        <v>517</v>
      </c>
      <c r="GV53" s="183" t="s">
        <v>517</v>
      </c>
      <c r="GW53" s="183" t="s">
        <v>517</v>
      </c>
      <c r="GX53" s="183" t="s">
        <v>517</v>
      </c>
      <c r="GY53" s="183" t="s">
        <v>517</v>
      </c>
      <c r="GZ53" s="183" t="s">
        <v>517</v>
      </c>
      <c r="HA53" s="183" t="s">
        <v>517</v>
      </c>
      <c r="HB53" s="183" t="s">
        <v>526</v>
      </c>
      <c r="HC53" s="183" t="s">
        <v>517</v>
      </c>
      <c r="HD53" s="183" t="s">
        <v>517</v>
      </c>
      <c r="HE53" s="183" t="s">
        <v>517</v>
      </c>
      <c r="HF53" s="183" t="s">
        <v>517</v>
      </c>
      <c r="HG53" s="183" t="s">
        <v>517</v>
      </c>
      <c r="HH53" s="183" t="s">
        <v>533</v>
      </c>
      <c r="HI53" s="183" t="s">
        <v>533</v>
      </c>
      <c r="HJ53" s="183" t="s">
        <v>533</v>
      </c>
      <c r="HK53" s="183" t="s">
        <v>533</v>
      </c>
      <c r="HL53" s="183" t="s">
        <v>533</v>
      </c>
      <c r="HM53" s="183" t="s">
        <v>533</v>
      </c>
      <c r="HN53" s="183" t="s">
        <v>533</v>
      </c>
      <c r="HO53" s="183" t="s">
        <v>573</v>
      </c>
      <c r="HP53" s="183" t="s">
        <v>573</v>
      </c>
      <c r="HQ53" s="183" t="s">
        <v>573</v>
      </c>
      <c r="HR53" s="183" t="s">
        <v>573</v>
      </c>
      <c r="HS53" s="183" t="s">
        <v>573</v>
      </c>
      <c r="HT53" s="183" t="s">
        <v>573</v>
      </c>
      <c r="HU53" s="183" t="s">
        <v>573</v>
      </c>
      <c r="HV53" s="183" t="s">
        <v>573</v>
      </c>
      <c r="HW53" s="183" t="s">
        <v>573</v>
      </c>
      <c r="HX53" s="183" t="s">
        <v>517</v>
      </c>
      <c r="HY53" s="183" t="s">
        <v>517</v>
      </c>
      <c r="HZ53" s="183" t="s">
        <v>517</v>
      </c>
      <c r="IA53" s="183" t="s">
        <v>517</v>
      </c>
      <c r="IB53" s="183" t="s">
        <v>517</v>
      </c>
      <c r="IC53" s="183" t="s">
        <v>524</v>
      </c>
      <c r="ID53" s="183" t="s">
        <v>524</v>
      </c>
      <c r="IE53" s="183" t="s">
        <v>524</v>
      </c>
      <c r="IF53" s="183" t="s">
        <v>524</v>
      </c>
      <c r="IG53" s="183" t="s">
        <v>524</v>
      </c>
      <c r="IH53" s="183" t="s">
        <v>524</v>
      </c>
      <c r="II53" s="183" t="s">
        <v>524</v>
      </c>
      <c r="IJ53" s="183" t="s">
        <v>540</v>
      </c>
      <c r="IK53" s="183" t="s">
        <v>560</v>
      </c>
      <c r="IL53" s="183" t="s">
        <v>560</v>
      </c>
      <c r="IM53" s="183" t="s">
        <v>590</v>
      </c>
      <c r="IN53" s="183" t="s">
        <v>590</v>
      </c>
      <c r="IO53" s="183" t="s">
        <v>517</v>
      </c>
      <c r="IP53" s="183" t="s">
        <v>517</v>
      </c>
      <c r="IQ53" s="183" t="s">
        <v>517</v>
      </c>
      <c r="IR53" s="183" t="s">
        <v>517</v>
      </c>
      <c r="IS53" s="183" t="s">
        <v>517</v>
      </c>
      <c r="IT53" s="183" t="s">
        <v>623</v>
      </c>
      <c r="IU53" s="183" t="s">
        <v>623</v>
      </c>
      <c r="IV53" s="183" t="s">
        <v>563</v>
      </c>
      <c r="IW53" s="183" t="s">
        <v>563</v>
      </c>
      <c r="IX53" s="183" t="s">
        <v>517</v>
      </c>
      <c r="IY53" s="183" t="s">
        <v>517</v>
      </c>
      <c r="IZ53" s="183" t="s">
        <v>517</v>
      </c>
      <c r="JA53" s="183" t="s">
        <v>529</v>
      </c>
      <c r="JB53" s="183" t="s">
        <v>529</v>
      </c>
      <c r="JC53" s="183" t="s">
        <v>517</v>
      </c>
      <c r="JD53" s="183" t="s">
        <v>679</v>
      </c>
      <c r="JE53" s="183" t="s">
        <v>703</v>
      </c>
      <c r="JF53" s="183" t="s">
        <v>703</v>
      </c>
      <c r="JG53" s="183" t="s">
        <v>590</v>
      </c>
      <c r="JH53" s="183" t="s">
        <v>592</v>
      </c>
      <c r="JI53" s="183" t="s">
        <v>592</v>
      </c>
      <c r="JJ53" s="183" t="s">
        <v>592</v>
      </c>
      <c r="JK53" s="183" t="s">
        <v>592</v>
      </c>
      <c r="JL53" s="183" t="s">
        <v>592</v>
      </c>
      <c r="JM53" s="183" t="s">
        <v>536</v>
      </c>
      <c r="JN53" s="183" t="s">
        <v>536</v>
      </c>
      <c r="JO53" s="183" t="s">
        <v>536</v>
      </c>
      <c r="JP53" s="183" t="s">
        <v>590</v>
      </c>
      <c r="JQ53" s="183" t="s">
        <v>590</v>
      </c>
      <c r="JR53" s="183" t="s">
        <v>590</v>
      </c>
      <c r="JS53" s="183" t="s">
        <v>581</v>
      </c>
      <c r="JT53" s="183" t="s">
        <v>524</v>
      </c>
      <c r="JU53" s="183" t="s">
        <v>639</v>
      </c>
      <c r="JV53" s="183" t="s">
        <v>531</v>
      </c>
      <c r="JW53" s="183" t="s">
        <v>539</v>
      </c>
      <c r="JX53" s="183" t="s">
        <v>539</v>
      </c>
      <c r="JY53" s="183" t="s">
        <v>519</v>
      </c>
      <c r="JZ53" s="183" t="s">
        <v>542</v>
      </c>
      <c r="KA53" s="183" t="s">
        <v>542</v>
      </c>
      <c r="KB53" s="183" t="s">
        <v>542</v>
      </c>
      <c r="KC53" s="183" t="s">
        <v>542</v>
      </c>
      <c r="KD53" s="183" t="s">
        <v>603</v>
      </c>
      <c r="KE53" s="183" t="s">
        <v>603</v>
      </c>
      <c r="KF53" s="183" t="s">
        <v>630</v>
      </c>
      <c r="KG53" s="183" t="s">
        <v>556</v>
      </c>
      <c r="KH53" s="183" t="s">
        <v>556</v>
      </c>
      <c r="KI53" s="183" t="s">
        <v>556</v>
      </c>
      <c r="KJ53" s="183" t="s">
        <v>556</v>
      </c>
      <c r="KK53" s="183" t="s">
        <v>556</v>
      </c>
      <c r="KL53" s="183" t="s">
        <v>556</v>
      </c>
      <c r="KM53" s="183" t="s">
        <v>517</v>
      </c>
      <c r="KN53" s="183" t="s">
        <v>517</v>
      </c>
      <c r="KO53" s="183" t="s">
        <v>517</v>
      </c>
      <c r="KP53" s="183" t="s">
        <v>517</v>
      </c>
      <c r="KQ53" s="183" t="s">
        <v>517</v>
      </c>
      <c r="KR53" s="183" t="s">
        <v>517</v>
      </c>
      <c r="KS53" s="183" t="s">
        <v>517</v>
      </c>
      <c r="KT53" s="183" t="s">
        <v>517</v>
      </c>
      <c r="KU53" s="183" t="s">
        <v>517</v>
      </c>
      <c r="KV53" s="183" t="s">
        <v>517</v>
      </c>
      <c r="KW53" s="183" t="s">
        <v>517</v>
      </c>
      <c r="KX53" s="183" t="s">
        <v>517</v>
      </c>
      <c r="KY53" s="183" t="s">
        <v>517</v>
      </c>
      <c r="KZ53" s="183" t="s">
        <v>552</v>
      </c>
      <c r="LA53" s="183" t="s">
        <v>552</v>
      </c>
      <c r="LB53" s="183" t="s">
        <v>552</v>
      </c>
      <c r="LC53" s="183" t="s">
        <v>554</v>
      </c>
      <c r="LD53" s="183" t="s">
        <v>554</v>
      </c>
      <c r="LE53" s="183" t="s">
        <v>528</v>
      </c>
      <c r="LF53" s="183" t="s">
        <v>545</v>
      </c>
      <c r="LG53" s="183" t="s">
        <v>545</v>
      </c>
      <c r="LH53" s="183" t="s">
        <v>545</v>
      </c>
      <c r="LI53" s="183" t="s">
        <v>558</v>
      </c>
      <c r="LJ53" s="183" t="s">
        <v>558</v>
      </c>
      <c r="LK53" s="183" t="s">
        <v>538</v>
      </c>
      <c r="LL53" s="183" t="s">
        <v>595</v>
      </c>
      <c r="LM53" s="183" t="s">
        <v>577</v>
      </c>
      <c r="LN53" s="183" t="s">
        <v>577</v>
      </c>
      <c r="LO53" s="183" t="s">
        <v>545</v>
      </c>
      <c r="LP53" s="183" t="s">
        <v>522</v>
      </c>
      <c r="LQ53" s="183" t="s">
        <v>522</v>
      </c>
      <c r="LR53" s="183" t="s">
        <v>628</v>
      </c>
      <c r="LS53" s="183" t="s">
        <v>705</v>
      </c>
      <c r="LT53" s="183" t="s">
        <v>705</v>
      </c>
      <c r="LU53" s="183" t="s">
        <v>545</v>
      </c>
      <c r="LV53" s="183" t="s">
        <v>523</v>
      </c>
      <c r="LW53" s="183" t="s">
        <v>523</v>
      </c>
      <c r="LX53" s="183" t="s">
        <v>575</v>
      </c>
      <c r="LY53" s="183" t="s">
        <v>575</v>
      </c>
      <c r="LZ53" s="183" t="s">
        <v>658</v>
      </c>
      <c r="MA53" s="183" t="s">
        <v>658</v>
      </c>
      <c r="MB53" s="183" t="s">
        <v>644</v>
      </c>
      <c r="MC53" s="183" t="s">
        <v>644</v>
      </c>
      <c r="MD53" s="183" t="s">
        <v>644</v>
      </c>
      <c r="ME53" s="183" t="s">
        <v>605</v>
      </c>
      <c r="MF53" s="183" t="s">
        <v>551</v>
      </c>
      <c r="MG53" s="183" t="s">
        <v>516</v>
      </c>
      <c r="MH53" s="183" t="s">
        <v>670</v>
      </c>
      <c r="MI53" s="183" t="s">
        <v>670</v>
      </c>
      <c r="MJ53" s="183" t="s">
        <v>607</v>
      </c>
      <c r="MK53" s="183" t="s">
        <v>550</v>
      </c>
      <c r="ML53" s="183" t="s">
        <v>607</v>
      </c>
      <c r="MM53" s="183" t="s">
        <v>607</v>
      </c>
      <c r="MN53" s="183" t="s">
        <v>582</v>
      </c>
      <c r="MO53" s="183" t="s">
        <v>566</v>
      </c>
      <c r="MP53" s="183" t="s">
        <v>590</v>
      </c>
      <c r="MQ53" s="183" t="s">
        <v>526</v>
      </c>
      <c r="MR53" s="183" t="s">
        <v>598</v>
      </c>
      <c r="MS53" s="183" t="s">
        <v>517</v>
      </c>
      <c r="MT53" s="183" t="s">
        <v>517</v>
      </c>
      <c r="MU53" s="183" t="s">
        <v>517</v>
      </c>
      <c r="MV53" s="183" t="s">
        <v>517</v>
      </c>
      <c r="MW53" s="183" t="s">
        <v>517</v>
      </c>
      <c r="MX53" s="183" t="s">
        <v>517</v>
      </c>
      <c r="MY53" s="183" t="s">
        <v>517</v>
      </c>
      <c r="MZ53" s="183" t="s">
        <v>517</v>
      </c>
      <c r="NA53" s="183" t="s">
        <v>517</v>
      </c>
      <c r="NB53" s="183" t="s">
        <v>517</v>
      </c>
      <c r="NC53" s="183" t="s">
        <v>517</v>
      </c>
      <c r="ND53" s="183" t="s">
        <v>517</v>
      </c>
      <c r="NE53" s="183" t="s">
        <v>517</v>
      </c>
      <c r="NF53" s="183" t="s">
        <v>517</v>
      </c>
      <c r="NG53" s="183" t="s">
        <v>517</v>
      </c>
      <c r="NH53" s="183" t="s">
        <v>517</v>
      </c>
      <c r="NI53" s="183" t="s">
        <v>517</v>
      </c>
      <c r="NJ53" s="183" t="s">
        <v>517</v>
      </c>
      <c r="NK53" s="183" t="s">
        <v>523</v>
      </c>
      <c r="NL53" s="183" t="s">
        <v>523</v>
      </c>
      <c r="NM53" s="183" t="s">
        <v>523</v>
      </c>
      <c r="NN53" s="183" t="s">
        <v>522</v>
      </c>
      <c r="NO53" s="183" t="s">
        <v>517</v>
      </c>
      <c r="NP53" s="183" t="s">
        <v>517</v>
      </c>
      <c r="NQ53" s="183" t="s">
        <v>517</v>
      </c>
      <c r="NR53" s="183" t="s">
        <v>517</v>
      </c>
      <c r="NS53" s="183" t="s">
        <v>517</v>
      </c>
      <c r="NT53" s="183" t="s">
        <v>517</v>
      </c>
      <c r="NU53" s="183" t="s">
        <v>517</v>
      </c>
      <c r="NV53" s="183" t="s">
        <v>517</v>
      </c>
      <c r="NW53" s="183" t="s">
        <v>517</v>
      </c>
      <c r="NX53" s="183" t="s">
        <v>517</v>
      </c>
      <c r="NY53" s="183" t="s">
        <v>517</v>
      </c>
      <c r="NZ53" s="183" t="s">
        <v>561</v>
      </c>
      <c r="OA53" s="183" t="s">
        <v>561</v>
      </c>
      <c r="OB53" s="183" t="s">
        <v>517</v>
      </c>
      <c r="OC53" s="183" t="s">
        <v>517</v>
      </c>
      <c r="OD53" s="183" t="s">
        <v>517</v>
      </c>
      <c r="OE53" s="183" t="s">
        <v>517</v>
      </c>
      <c r="OF53" s="183" t="s">
        <v>517</v>
      </c>
      <c r="OG53" s="183" t="s">
        <v>517</v>
      </c>
      <c r="OH53" s="183" t="s">
        <v>517</v>
      </c>
      <c r="OI53" s="183" t="s">
        <v>517</v>
      </c>
      <c r="OJ53" s="183" t="s">
        <v>517</v>
      </c>
      <c r="OK53" s="183" t="s">
        <v>517</v>
      </c>
      <c r="OL53" s="183" t="s">
        <v>580</v>
      </c>
      <c r="OM53" s="183" t="s">
        <v>580</v>
      </c>
      <c r="ON53" s="183" t="s">
        <v>580</v>
      </c>
      <c r="OO53" s="183" t="s">
        <v>580</v>
      </c>
      <c r="OP53" s="183" t="s">
        <v>572</v>
      </c>
      <c r="OQ53" s="183" t="s">
        <v>517</v>
      </c>
      <c r="OR53" s="183" t="s">
        <v>517</v>
      </c>
      <c r="OS53" s="183" t="s">
        <v>517</v>
      </c>
      <c r="OT53" s="183" t="s">
        <v>517</v>
      </c>
      <c r="OU53" s="183" t="s">
        <v>517</v>
      </c>
      <c r="OV53" s="183" t="s">
        <v>517</v>
      </c>
      <c r="OW53" s="183" t="s">
        <v>517</v>
      </c>
      <c r="OX53" s="183" t="s">
        <v>517</v>
      </c>
      <c r="OY53" s="183" t="s">
        <v>517</v>
      </c>
      <c r="OZ53" s="183" t="s">
        <v>517</v>
      </c>
      <c r="PA53" s="183" t="s">
        <v>517</v>
      </c>
      <c r="PB53" s="183" t="s">
        <v>517</v>
      </c>
      <c r="PC53" s="183" t="s">
        <v>517</v>
      </c>
      <c r="PD53" s="183" t="s">
        <v>517</v>
      </c>
      <c r="PE53" s="183" t="s">
        <v>517</v>
      </c>
      <c r="PF53" s="183" t="s">
        <v>517</v>
      </c>
      <c r="PG53" s="183" t="s">
        <v>517</v>
      </c>
      <c r="PH53" s="183" t="s">
        <v>517</v>
      </c>
      <c r="PI53" s="183" t="s">
        <v>517</v>
      </c>
      <c r="PJ53" s="183" t="s">
        <v>517</v>
      </c>
      <c r="PK53" s="183" t="s">
        <v>567</v>
      </c>
      <c r="PL53" s="183" t="s">
        <v>517</v>
      </c>
      <c r="PM53" s="183" t="s">
        <v>517</v>
      </c>
      <c r="PN53" s="183" t="s">
        <v>590</v>
      </c>
      <c r="PO53" s="183" t="s">
        <v>590</v>
      </c>
      <c r="PP53" s="183" t="s">
        <v>590</v>
      </c>
      <c r="PQ53" s="183" t="s">
        <v>590</v>
      </c>
      <c r="PR53" s="183" t="s">
        <v>590</v>
      </c>
      <c r="PS53" s="183" t="s">
        <v>517</v>
      </c>
      <c r="PT53" s="183" t="s">
        <v>517</v>
      </c>
      <c r="PU53" s="183" t="s">
        <v>517</v>
      </c>
      <c r="PV53" s="183" t="s">
        <v>595</v>
      </c>
      <c r="PW53" s="183" t="s">
        <v>517</v>
      </c>
      <c r="PX53" s="183" t="s">
        <v>517</v>
      </c>
      <c r="PY53" s="183" t="s">
        <v>517</v>
      </c>
      <c r="PZ53" s="183" t="s">
        <v>517</v>
      </c>
      <c r="QA53" s="183" t="s">
        <v>517</v>
      </c>
      <c r="QB53" s="183" t="s">
        <v>526</v>
      </c>
      <c r="QC53" s="183" t="s">
        <v>517</v>
      </c>
      <c r="QD53" s="183" t="s">
        <v>517</v>
      </c>
      <c r="QE53" s="183" t="s">
        <v>517</v>
      </c>
      <c r="QF53" s="183" t="s">
        <v>517</v>
      </c>
      <c r="QG53" s="183" t="s">
        <v>517</v>
      </c>
      <c r="QH53" s="183" t="s">
        <v>546</v>
      </c>
      <c r="QI53" s="183" t="s">
        <v>546</v>
      </c>
      <c r="QJ53" s="183" t="s">
        <v>546</v>
      </c>
      <c r="QK53" s="183" t="s">
        <v>546</v>
      </c>
      <c r="QL53" s="183" t="s">
        <v>546</v>
      </c>
      <c r="QM53" s="183" t="s">
        <v>547</v>
      </c>
      <c r="QN53" s="183" t="s">
        <v>517</v>
      </c>
      <c r="QO53" s="183" t="s">
        <v>517</v>
      </c>
      <c r="QP53" s="183" t="s">
        <v>517</v>
      </c>
      <c r="QQ53" s="183" t="s">
        <v>547</v>
      </c>
      <c r="QR53" s="183" t="s">
        <v>547</v>
      </c>
      <c r="QS53" s="183" t="s">
        <v>526</v>
      </c>
      <c r="QT53" s="183" t="s">
        <v>517</v>
      </c>
      <c r="QU53" s="183" t="s">
        <v>517</v>
      </c>
      <c r="QV53" s="183" t="s">
        <v>517</v>
      </c>
      <c r="QW53" s="183" t="s">
        <v>526</v>
      </c>
      <c r="QX53" s="183" t="s">
        <v>517</v>
      </c>
      <c r="QY53" s="183" t="s">
        <v>517</v>
      </c>
      <c r="QZ53" s="183" t="s">
        <v>517</v>
      </c>
      <c r="RA53" s="183" t="s">
        <v>517</v>
      </c>
      <c r="RB53" s="183" t="s">
        <v>517</v>
      </c>
      <c r="RC53" s="183" t="s">
        <v>517</v>
      </c>
      <c r="RD53" s="183" t="s">
        <v>517</v>
      </c>
      <c r="RE53" s="183" t="s">
        <v>517</v>
      </c>
      <c r="RF53" s="183" t="s">
        <v>526</v>
      </c>
      <c r="RG53" s="183" t="s">
        <v>559</v>
      </c>
      <c r="RH53" s="183" t="s">
        <v>526</v>
      </c>
      <c r="RI53" s="183" t="s">
        <v>526</v>
      </c>
      <c r="RJ53" s="183" t="s">
        <v>526</v>
      </c>
      <c r="RK53" s="183" t="s">
        <v>526</v>
      </c>
      <c r="RL53" s="183" t="s">
        <v>526</v>
      </c>
      <c r="RM53" s="183" t="s">
        <v>526</v>
      </c>
      <c r="RN53" s="183" t="s">
        <v>526</v>
      </c>
      <c r="RO53" s="183" t="s">
        <v>526</v>
      </c>
      <c r="RP53" s="183" t="s">
        <v>526</v>
      </c>
      <c r="RQ53" s="183" t="s">
        <v>517</v>
      </c>
      <c r="RR53" s="183" t="s">
        <v>517</v>
      </c>
      <c r="RS53" s="183" t="s">
        <v>517</v>
      </c>
      <c r="RT53" s="183" t="s">
        <v>517</v>
      </c>
      <c r="RU53" s="183" t="s">
        <v>517</v>
      </c>
      <c r="RV53" s="183" t="s">
        <v>517</v>
      </c>
      <c r="RW53" s="183" t="s">
        <v>517</v>
      </c>
      <c r="RX53" s="183" t="s">
        <v>635</v>
      </c>
      <c r="RY53" s="183" t="s">
        <v>546</v>
      </c>
      <c r="RZ53" s="183" t="s">
        <v>546</v>
      </c>
      <c r="SA53" s="183" t="s">
        <v>517</v>
      </c>
      <c r="SB53" s="183" t="s">
        <v>517</v>
      </c>
      <c r="SC53" s="183" t="s">
        <v>517</v>
      </c>
      <c r="SD53" s="183" t="s">
        <v>517</v>
      </c>
      <c r="SE53" s="183" t="s">
        <v>517</v>
      </c>
      <c r="SF53" s="183" t="s">
        <v>517</v>
      </c>
      <c r="SG53" s="183" t="s">
        <v>517</v>
      </c>
      <c r="SH53" s="183" t="s">
        <v>517</v>
      </c>
      <c r="SI53" s="183" t="s">
        <v>517</v>
      </c>
      <c r="SJ53" s="183" t="s">
        <v>517</v>
      </c>
      <c r="SK53" s="183" t="s">
        <v>517</v>
      </c>
      <c r="SL53" s="183" t="s">
        <v>517</v>
      </c>
      <c r="SM53" s="183" t="s">
        <v>517</v>
      </c>
      <c r="SN53" s="183" t="s">
        <v>517</v>
      </c>
      <c r="SO53" s="183" t="s">
        <v>517</v>
      </c>
      <c r="SP53" s="183" t="s">
        <v>537</v>
      </c>
      <c r="SQ53" s="183" t="s">
        <v>517</v>
      </c>
      <c r="SR53" s="183" t="s">
        <v>517</v>
      </c>
      <c r="SS53" s="183" t="s">
        <v>517</v>
      </c>
      <c r="ST53" s="183" t="s">
        <v>517</v>
      </c>
      <c r="SU53" s="183" t="s">
        <v>517</v>
      </c>
      <c r="SV53" s="183" t="s">
        <v>517</v>
      </c>
      <c r="SW53" s="183" t="s">
        <v>517</v>
      </c>
      <c r="SX53" s="183" t="s">
        <v>517</v>
      </c>
      <c r="SY53" s="183" t="s">
        <v>517</v>
      </c>
      <c r="SZ53" s="183" t="s">
        <v>517</v>
      </c>
      <c r="TA53" s="183" t="s">
        <v>517</v>
      </c>
      <c r="TB53" s="183" t="s">
        <v>517</v>
      </c>
      <c r="TC53" s="183" t="s">
        <v>517</v>
      </c>
      <c r="TD53" s="183" t="s">
        <v>526</v>
      </c>
      <c r="TE53" s="183" t="s">
        <v>526</v>
      </c>
      <c r="TF53" s="183" t="s">
        <v>567</v>
      </c>
      <c r="TG53" s="183" t="s">
        <v>567</v>
      </c>
      <c r="TH53" s="183" t="s">
        <v>517</v>
      </c>
      <c r="TI53" s="183" t="s">
        <v>517</v>
      </c>
      <c r="TJ53" s="183" t="s">
        <v>517</v>
      </c>
      <c r="TK53" s="183" t="s">
        <v>517</v>
      </c>
      <c r="TL53" s="183" t="s">
        <v>517</v>
      </c>
      <c r="TM53" s="183" t="s">
        <v>517</v>
      </c>
      <c r="TN53" s="183" t="s">
        <v>517</v>
      </c>
      <c r="TO53" s="183" t="s">
        <v>547</v>
      </c>
      <c r="TP53" s="183" t="s">
        <v>517</v>
      </c>
      <c r="TQ53" s="183" t="s">
        <v>517</v>
      </c>
      <c r="TR53" s="183" t="s">
        <v>526</v>
      </c>
      <c r="TS53" s="183" t="s">
        <v>526</v>
      </c>
      <c r="TT53" s="183" t="s">
        <v>517</v>
      </c>
      <c r="TU53" s="183" t="s">
        <v>517</v>
      </c>
      <c r="TV53" s="183" t="s">
        <v>517</v>
      </c>
      <c r="TW53" s="183" t="s">
        <v>517</v>
      </c>
      <c r="TX53" s="183" t="s">
        <v>526</v>
      </c>
      <c r="TY53" s="183" t="s">
        <v>517</v>
      </c>
      <c r="TZ53" s="183" t="s">
        <v>517</v>
      </c>
      <c r="UA53" s="183" t="s">
        <v>517</v>
      </c>
      <c r="UB53" s="183" t="s">
        <v>517</v>
      </c>
      <c r="UC53" s="183" t="s">
        <v>517</v>
      </c>
      <c r="UD53" s="183" t="s">
        <v>517</v>
      </c>
      <c r="UE53" s="183" t="s">
        <v>517</v>
      </c>
      <c r="UF53" s="183" t="s">
        <v>517</v>
      </c>
      <c r="UG53" s="183" t="s">
        <v>517</v>
      </c>
      <c r="UH53" s="183" t="s">
        <v>517</v>
      </c>
      <c r="UI53" s="183" t="s">
        <v>517</v>
      </c>
      <c r="UJ53" s="183" t="s">
        <v>517</v>
      </c>
      <c r="UK53" s="183" t="s">
        <v>517</v>
      </c>
      <c r="UL53" s="183" t="s">
        <v>517</v>
      </c>
      <c r="UM53" s="183" t="s">
        <v>517</v>
      </c>
      <c r="UN53" s="183" t="s">
        <v>517</v>
      </c>
      <c r="UO53" s="183" t="s">
        <v>517</v>
      </c>
      <c r="UP53" s="183" t="s">
        <v>517</v>
      </c>
      <c r="UQ53" s="183" t="s">
        <v>683</v>
      </c>
      <c r="UR53" s="183" t="s">
        <v>683</v>
      </c>
      <c r="US53" s="183" t="s">
        <v>683</v>
      </c>
      <c r="UT53" s="183" t="s">
        <v>685</v>
      </c>
      <c r="UU53" s="183" t="s">
        <v>685</v>
      </c>
      <c r="UV53" s="183" t="s">
        <v>685</v>
      </c>
      <c r="UW53" s="183" t="s">
        <v>698</v>
      </c>
      <c r="UX53" s="183" t="s">
        <v>698</v>
      </c>
      <c r="UY53" s="183" t="s">
        <v>698</v>
      </c>
      <c r="UZ53" s="183" t="s">
        <v>571</v>
      </c>
      <c r="VA53" s="183" t="s">
        <v>571</v>
      </c>
      <c r="VB53" s="183" t="s">
        <v>571</v>
      </c>
      <c r="VC53" s="183" t="s">
        <v>571</v>
      </c>
      <c r="VD53" s="183" t="s">
        <v>571</v>
      </c>
      <c r="VE53" s="183" t="s">
        <v>517</v>
      </c>
      <c r="VF53" s="183" t="s">
        <v>517</v>
      </c>
      <c r="VG53" s="183" t="s">
        <v>517</v>
      </c>
      <c r="VH53" s="183" t="s">
        <v>517</v>
      </c>
      <c r="VI53" s="183" t="s">
        <v>517</v>
      </c>
      <c r="VJ53" s="183" t="s">
        <v>517</v>
      </c>
      <c r="VK53" s="183" t="s">
        <v>573</v>
      </c>
      <c r="VL53" s="183" t="s">
        <v>567</v>
      </c>
      <c r="VM53" s="183" t="s">
        <v>567</v>
      </c>
      <c r="VN53" s="183" t="s">
        <v>517</v>
      </c>
      <c r="VO53" s="183" t="s">
        <v>517</v>
      </c>
      <c r="VP53" s="183" t="s">
        <v>517</v>
      </c>
      <c r="VQ53" s="183" t="s">
        <v>517</v>
      </c>
      <c r="VR53" s="183" t="s">
        <v>598</v>
      </c>
      <c r="VS53" s="183" t="s">
        <v>526</v>
      </c>
      <c r="VT53" s="183" t="s">
        <v>517</v>
      </c>
      <c r="VU53" s="183" t="s">
        <v>517</v>
      </c>
      <c r="VV53" s="183" t="s">
        <v>517</v>
      </c>
      <c r="VW53" s="183" t="s">
        <v>517</v>
      </c>
      <c r="VX53" s="183" t="s">
        <v>517</v>
      </c>
      <c r="VY53" s="183" t="s">
        <v>517</v>
      </c>
      <c r="VZ53" s="183" t="s">
        <v>517</v>
      </c>
      <c r="WA53" s="183" t="s">
        <v>526</v>
      </c>
      <c r="WB53" s="183" t="s">
        <v>517</v>
      </c>
      <c r="WC53" s="183" t="s">
        <v>517</v>
      </c>
      <c r="WD53" s="183" t="s">
        <v>517</v>
      </c>
      <c r="WE53" s="183" t="s">
        <v>517</v>
      </c>
      <c r="WF53" s="183" t="s">
        <v>526</v>
      </c>
      <c r="WG53" s="183" t="s">
        <v>517</v>
      </c>
      <c r="WH53" s="183" t="s">
        <v>517</v>
      </c>
      <c r="WI53" s="183" t="s">
        <v>517</v>
      </c>
      <c r="WJ53" s="183" t="s">
        <v>517</v>
      </c>
      <c r="WK53" s="183" t="s">
        <v>517</v>
      </c>
      <c r="WL53" s="183" t="s">
        <v>517</v>
      </c>
      <c r="WM53" s="183" t="s">
        <v>517</v>
      </c>
      <c r="WN53" s="183" t="s">
        <v>517</v>
      </c>
      <c r="WO53" s="183" t="s">
        <v>517</v>
      </c>
      <c r="ZL53" s="182" t="str">
        <f t="shared" si="1"/>
        <v>CARACAS -LYON</v>
      </c>
      <c r="ZM53" s="183" t="s">
        <v>541</v>
      </c>
      <c r="ZN53" s="182" t="s">
        <v>517</v>
      </c>
      <c r="ZO53" s="182">
        <v>1543</v>
      </c>
      <c r="ZP53" s="198">
        <v>367.23399999999998</v>
      </c>
      <c r="ZQ53" s="193"/>
      <c r="ZR53" s="193"/>
      <c r="ZS53" s="193"/>
      <c r="ZT53" s="193"/>
    </row>
    <row r="54" spans="1:696" s="192" customFormat="1" ht="28.8">
      <c r="A54" s="91"/>
      <c r="B54" s="91"/>
      <c r="C54" s="91"/>
      <c r="D54" s="735"/>
      <c r="E54" s="189" t="s">
        <v>515</v>
      </c>
      <c r="F54" s="182" t="s">
        <v>600</v>
      </c>
      <c r="G54" s="182" t="s">
        <v>600</v>
      </c>
      <c r="H54" s="182" t="s">
        <v>600</v>
      </c>
      <c r="I54" s="182" t="s">
        <v>600</v>
      </c>
      <c r="J54" s="182" t="s">
        <v>600</v>
      </c>
      <c r="K54" s="182" t="s">
        <v>601</v>
      </c>
      <c r="L54" s="182" t="s">
        <v>601</v>
      </c>
      <c r="M54" s="182" t="s">
        <v>602</v>
      </c>
      <c r="N54" s="182" t="s">
        <v>602</v>
      </c>
      <c r="O54" s="182" t="s">
        <v>602</v>
      </c>
      <c r="P54" s="182" t="s">
        <v>654</v>
      </c>
      <c r="Q54" s="182" t="s">
        <v>572</v>
      </c>
      <c r="R54" s="182" t="s">
        <v>572</v>
      </c>
      <c r="S54" s="182" t="s">
        <v>572</v>
      </c>
      <c r="T54" s="182" t="s">
        <v>572</v>
      </c>
      <c r="U54" s="182" t="s">
        <v>603</v>
      </c>
      <c r="V54" s="182" t="s">
        <v>603</v>
      </c>
      <c r="W54" s="182" t="s">
        <v>603</v>
      </c>
      <c r="X54" s="182" t="s">
        <v>537</v>
      </c>
      <c r="Y54" s="182" t="s">
        <v>537</v>
      </c>
      <c r="Z54" s="182" t="s">
        <v>586</v>
      </c>
      <c r="AA54" s="182" t="s">
        <v>604</v>
      </c>
      <c r="AB54" s="182" t="s">
        <v>604</v>
      </c>
      <c r="AC54" s="182" t="s">
        <v>604</v>
      </c>
      <c r="AD54" s="182" t="s">
        <v>604</v>
      </c>
      <c r="AE54" s="182" t="s">
        <v>706</v>
      </c>
      <c r="AF54" s="182" t="s">
        <v>708</v>
      </c>
      <c r="AG54" s="182" t="s">
        <v>587</v>
      </c>
      <c r="AH54" s="182" t="s">
        <v>587</v>
      </c>
      <c r="AI54" s="182" t="s">
        <v>587</v>
      </c>
      <c r="AJ54" s="182" t="s">
        <v>605</v>
      </c>
      <c r="AK54" s="182" t="s">
        <v>605</v>
      </c>
      <c r="AL54" s="182" t="s">
        <v>605</v>
      </c>
      <c r="AM54" s="182" t="s">
        <v>605</v>
      </c>
      <c r="AN54" s="182" t="s">
        <v>605</v>
      </c>
      <c r="AO54" s="182" t="s">
        <v>605</v>
      </c>
      <c r="AP54" s="182" t="s">
        <v>605</v>
      </c>
      <c r="AQ54" s="182" t="s">
        <v>707</v>
      </c>
      <c r="AR54" s="182" t="s">
        <v>707</v>
      </c>
      <c r="AS54" s="182" t="s">
        <v>606</v>
      </c>
      <c r="AT54" s="182" t="s">
        <v>606</v>
      </c>
      <c r="AU54" s="182" t="s">
        <v>702</v>
      </c>
      <c r="AV54" s="182" t="s">
        <v>662</v>
      </c>
      <c r="AW54" s="182" t="s">
        <v>662</v>
      </c>
      <c r="AX54" s="182" t="s">
        <v>662</v>
      </c>
      <c r="AY54" s="182" t="s">
        <v>702</v>
      </c>
      <c r="AZ54" s="182" t="s">
        <v>702</v>
      </c>
      <c r="BA54" s="182" t="s">
        <v>607</v>
      </c>
      <c r="BB54" s="182" t="s">
        <v>550</v>
      </c>
      <c r="BC54" s="182" t="s">
        <v>607</v>
      </c>
      <c r="BD54" s="182" t="s">
        <v>607</v>
      </c>
      <c r="BE54" s="182" t="s">
        <v>607</v>
      </c>
      <c r="BF54" s="182" t="s">
        <v>607</v>
      </c>
      <c r="BG54" s="182" t="s">
        <v>607</v>
      </c>
      <c r="BH54" s="182" t="s">
        <v>582</v>
      </c>
      <c r="BI54" s="182" t="s">
        <v>582</v>
      </c>
      <c r="BJ54" s="182" t="s">
        <v>608</v>
      </c>
      <c r="BK54" s="182" t="s">
        <v>608</v>
      </c>
      <c r="BL54" s="182" t="s">
        <v>609</v>
      </c>
      <c r="BM54" s="182" t="s">
        <v>610</v>
      </c>
      <c r="BN54" s="182" t="s">
        <v>610</v>
      </c>
      <c r="BO54" s="182" t="s">
        <v>610</v>
      </c>
      <c r="BP54" s="182" t="s">
        <v>610</v>
      </c>
      <c r="BQ54" s="182" t="s">
        <v>610</v>
      </c>
      <c r="BR54" s="182" t="s">
        <v>610</v>
      </c>
      <c r="BS54" s="182" t="s">
        <v>610</v>
      </c>
      <c r="BT54" s="182" t="s">
        <v>610</v>
      </c>
      <c r="BU54" s="182" t="s">
        <v>610</v>
      </c>
      <c r="BV54" s="182" t="s">
        <v>610</v>
      </c>
      <c r="BW54" s="182" t="s">
        <v>610</v>
      </c>
      <c r="BX54" s="182" t="s">
        <v>568</v>
      </c>
      <c r="BY54" s="182" t="s">
        <v>568</v>
      </c>
      <c r="BZ54" s="182" t="s">
        <v>568</v>
      </c>
      <c r="CA54" s="182" t="s">
        <v>580</v>
      </c>
      <c r="CB54" s="182" t="s">
        <v>771</v>
      </c>
      <c r="CC54" s="182" t="s">
        <v>771</v>
      </c>
      <c r="CD54" s="182" t="s">
        <v>552</v>
      </c>
      <c r="CE54" s="182" t="s">
        <v>552</v>
      </c>
      <c r="CF54" s="182" t="s">
        <v>552</v>
      </c>
      <c r="CG54" s="182" t="s">
        <v>552</v>
      </c>
      <c r="CH54" s="182" t="s">
        <v>521</v>
      </c>
      <c r="CI54" s="182" t="s">
        <v>521</v>
      </c>
      <c r="CJ54" s="182" t="s">
        <v>521</v>
      </c>
      <c r="CK54" s="182" t="s">
        <v>521</v>
      </c>
      <c r="CL54" s="182" t="s">
        <v>521</v>
      </c>
      <c r="CM54" s="182" t="s">
        <v>521</v>
      </c>
      <c r="CN54" s="182" t="s">
        <v>521</v>
      </c>
      <c r="CO54" s="182" t="s">
        <v>521</v>
      </c>
      <c r="CP54" s="182" t="s">
        <v>521</v>
      </c>
      <c r="CQ54" s="182" t="s">
        <v>521</v>
      </c>
      <c r="CR54" s="182" t="s">
        <v>521</v>
      </c>
      <c r="CS54" s="182" t="s">
        <v>521</v>
      </c>
      <c r="CT54" s="182" t="s">
        <v>521</v>
      </c>
      <c r="CU54" s="182" t="s">
        <v>557</v>
      </c>
      <c r="CV54" s="182" t="s">
        <v>557</v>
      </c>
      <c r="CW54" s="182" t="s">
        <v>557</v>
      </c>
      <c r="CX54" s="182" t="s">
        <v>521</v>
      </c>
      <c r="CY54" s="182" t="s">
        <v>614</v>
      </c>
      <c r="CZ54" s="182" t="s">
        <v>611</v>
      </c>
      <c r="DA54" s="182" t="s">
        <v>612</v>
      </c>
      <c r="DB54" s="182" t="s">
        <v>612</v>
      </c>
      <c r="DC54" s="182" t="s">
        <v>613</v>
      </c>
      <c r="DD54" s="182" t="s">
        <v>615</v>
      </c>
      <c r="DE54" s="182" t="s">
        <v>616</v>
      </c>
      <c r="DF54" s="182" t="s">
        <v>616</v>
      </c>
      <c r="DG54" s="182" t="s">
        <v>616</v>
      </c>
      <c r="DH54" s="182" t="s">
        <v>616</v>
      </c>
      <c r="DI54" s="182" t="s">
        <v>616</v>
      </c>
      <c r="DJ54" s="182" t="s">
        <v>524</v>
      </c>
      <c r="DK54" s="182" t="s">
        <v>524</v>
      </c>
      <c r="DL54" s="182" t="s">
        <v>524</v>
      </c>
      <c r="DM54" s="182" t="s">
        <v>524</v>
      </c>
      <c r="DN54" s="182" t="s">
        <v>524</v>
      </c>
      <c r="DO54" s="182" t="s">
        <v>524</v>
      </c>
      <c r="DP54" s="182" t="s">
        <v>524</v>
      </c>
      <c r="DQ54" s="182" t="s">
        <v>524</v>
      </c>
      <c r="DR54" s="182" t="s">
        <v>524</v>
      </c>
      <c r="DS54" s="182" t="s">
        <v>524</v>
      </c>
      <c r="DT54" s="182" t="s">
        <v>524</v>
      </c>
      <c r="DU54" s="182" t="s">
        <v>524</v>
      </c>
      <c r="DV54" s="182" t="s">
        <v>524</v>
      </c>
      <c r="DW54" s="182" t="s">
        <v>525</v>
      </c>
      <c r="DX54" s="182" t="s">
        <v>525</v>
      </c>
      <c r="DY54" s="182" t="s">
        <v>525</v>
      </c>
      <c r="DZ54" s="182" t="s">
        <v>524</v>
      </c>
      <c r="EA54" s="182" t="s">
        <v>524</v>
      </c>
      <c r="EB54" s="182" t="s">
        <v>617</v>
      </c>
      <c r="EC54" s="182" t="s">
        <v>542</v>
      </c>
      <c r="ED54" s="182" t="s">
        <v>542</v>
      </c>
      <c r="EE54" s="182" t="s">
        <v>542</v>
      </c>
      <c r="EF54" s="182" t="s">
        <v>542</v>
      </c>
      <c r="EG54" s="182" t="s">
        <v>542</v>
      </c>
      <c r="EH54" s="182" t="s">
        <v>542</v>
      </c>
      <c r="EI54" s="182" t="s">
        <v>542</v>
      </c>
      <c r="EJ54" s="182" t="s">
        <v>542</v>
      </c>
      <c r="EK54" s="182" t="s">
        <v>542</v>
      </c>
      <c r="EL54" s="182" t="s">
        <v>619</v>
      </c>
      <c r="EM54" s="182" t="s">
        <v>619</v>
      </c>
      <c r="EN54" s="182" t="s">
        <v>525</v>
      </c>
      <c r="EO54" s="182" t="s">
        <v>525</v>
      </c>
      <c r="EP54" s="182" t="s">
        <v>618</v>
      </c>
      <c r="EQ54" s="182" t="s">
        <v>773</v>
      </c>
      <c r="ER54" s="182" t="s">
        <v>583</v>
      </c>
      <c r="ES54" s="182" t="s">
        <v>594</v>
      </c>
      <c r="ET54" s="182" t="s">
        <v>620</v>
      </c>
      <c r="EU54" s="182" t="s">
        <v>620</v>
      </c>
      <c r="EV54" s="182" t="s">
        <v>620</v>
      </c>
      <c r="EW54" s="182" t="s">
        <v>620</v>
      </c>
      <c r="EX54" s="182" t="s">
        <v>517</v>
      </c>
      <c r="EY54" s="182" t="s">
        <v>517</v>
      </c>
      <c r="EZ54" s="182" t="s">
        <v>517</v>
      </c>
      <c r="FA54" s="182" t="s">
        <v>517</v>
      </c>
      <c r="FB54" s="182" t="s">
        <v>517</v>
      </c>
      <c r="FC54" s="182" t="s">
        <v>621</v>
      </c>
      <c r="FD54" s="182" t="s">
        <v>517</v>
      </c>
      <c r="FE54" s="182" t="s">
        <v>517</v>
      </c>
      <c r="FF54" s="182" t="s">
        <v>517</v>
      </c>
      <c r="FG54" s="182" t="s">
        <v>517</v>
      </c>
      <c r="FH54" s="182" t="s">
        <v>517</v>
      </c>
      <c r="FI54" s="182" t="s">
        <v>517</v>
      </c>
      <c r="FJ54" s="182" t="s">
        <v>517</v>
      </c>
      <c r="FK54" s="182" t="s">
        <v>517</v>
      </c>
      <c r="FL54" s="182" t="s">
        <v>517</v>
      </c>
      <c r="FM54" s="182" t="s">
        <v>517</v>
      </c>
      <c r="FN54" s="182" t="s">
        <v>517</v>
      </c>
      <c r="FO54" s="182" t="s">
        <v>517</v>
      </c>
      <c r="FP54" s="182" t="s">
        <v>517</v>
      </c>
      <c r="FQ54" s="182" t="s">
        <v>517</v>
      </c>
      <c r="FR54" s="182" t="s">
        <v>517</v>
      </c>
      <c r="FS54" s="182" t="s">
        <v>517</v>
      </c>
      <c r="FT54" s="182" t="s">
        <v>517</v>
      </c>
      <c r="FU54" s="182" t="s">
        <v>517</v>
      </c>
      <c r="FV54" s="182" t="s">
        <v>517</v>
      </c>
      <c r="FW54" s="182" t="s">
        <v>517</v>
      </c>
      <c r="FX54" s="182" t="s">
        <v>517</v>
      </c>
      <c r="FY54" s="182" t="s">
        <v>517</v>
      </c>
      <c r="FZ54" s="182" t="s">
        <v>546</v>
      </c>
      <c r="GA54" s="182" t="s">
        <v>546</v>
      </c>
      <c r="GB54" s="182" t="s">
        <v>546</v>
      </c>
      <c r="GC54" s="182" t="s">
        <v>546</v>
      </c>
      <c r="GD54" s="182" t="s">
        <v>546</v>
      </c>
      <c r="GE54" s="182" t="s">
        <v>546</v>
      </c>
      <c r="GF54" s="182" t="s">
        <v>546</v>
      </c>
      <c r="GG54" s="182" t="s">
        <v>546</v>
      </c>
      <c r="GH54" s="182" t="s">
        <v>546</v>
      </c>
      <c r="GI54" s="182" t="s">
        <v>546</v>
      </c>
      <c r="GJ54" s="182" t="s">
        <v>546</v>
      </c>
      <c r="GK54" s="182" t="s">
        <v>546</v>
      </c>
      <c r="GL54" s="182" t="s">
        <v>546</v>
      </c>
      <c r="GM54" s="182" t="s">
        <v>546</v>
      </c>
      <c r="GN54" s="182" t="s">
        <v>546</v>
      </c>
      <c r="GO54" s="182" t="s">
        <v>546</v>
      </c>
      <c r="GP54" s="182" t="s">
        <v>546</v>
      </c>
      <c r="GQ54" s="182" t="s">
        <v>546</v>
      </c>
      <c r="GR54" s="182" t="s">
        <v>546</v>
      </c>
      <c r="GS54" s="182" t="s">
        <v>546</v>
      </c>
      <c r="GT54" s="182" t="s">
        <v>546</v>
      </c>
      <c r="GU54" s="182" t="s">
        <v>546</v>
      </c>
      <c r="GV54" s="182" t="s">
        <v>546</v>
      </c>
      <c r="GW54" s="182" t="s">
        <v>546</v>
      </c>
      <c r="GX54" s="182" t="s">
        <v>622</v>
      </c>
      <c r="GY54" s="182" t="s">
        <v>622</v>
      </c>
      <c r="GZ54" s="182" t="s">
        <v>622</v>
      </c>
      <c r="HA54" s="182" t="s">
        <v>622</v>
      </c>
      <c r="HB54" s="182" t="s">
        <v>517</v>
      </c>
      <c r="HC54" s="182" t="s">
        <v>526</v>
      </c>
      <c r="HD54" s="182" t="s">
        <v>526</v>
      </c>
      <c r="HE54" s="182" t="s">
        <v>526</v>
      </c>
      <c r="HF54" s="182" t="s">
        <v>526</v>
      </c>
      <c r="HG54" s="182" t="s">
        <v>526</v>
      </c>
      <c r="HH54" s="182" t="s">
        <v>517</v>
      </c>
      <c r="HI54" s="182" t="s">
        <v>517</v>
      </c>
      <c r="HJ54" s="182" t="s">
        <v>517</v>
      </c>
      <c r="HK54" s="182" t="s">
        <v>517</v>
      </c>
      <c r="HL54" s="182" t="s">
        <v>517</v>
      </c>
      <c r="HM54" s="182" t="s">
        <v>517</v>
      </c>
      <c r="HN54" s="182" t="s">
        <v>517</v>
      </c>
      <c r="HO54" s="182" t="s">
        <v>517</v>
      </c>
      <c r="HP54" s="182" t="s">
        <v>517</v>
      </c>
      <c r="HQ54" s="182" t="s">
        <v>517</v>
      </c>
      <c r="HR54" s="182" t="s">
        <v>517</v>
      </c>
      <c r="HS54" s="182" t="s">
        <v>517</v>
      </c>
      <c r="HT54" s="182" t="s">
        <v>517</v>
      </c>
      <c r="HU54" s="182" t="s">
        <v>517</v>
      </c>
      <c r="HV54" s="182" t="s">
        <v>517</v>
      </c>
      <c r="HW54" s="182" t="s">
        <v>517</v>
      </c>
      <c r="HX54" s="182" t="s">
        <v>573</v>
      </c>
      <c r="HY54" s="182" t="s">
        <v>573</v>
      </c>
      <c r="HZ54" s="182" t="s">
        <v>573</v>
      </c>
      <c r="IA54" s="182" t="s">
        <v>573</v>
      </c>
      <c r="IB54" s="182" t="s">
        <v>573</v>
      </c>
      <c r="IC54" s="182" t="s">
        <v>517</v>
      </c>
      <c r="ID54" s="182" t="s">
        <v>517</v>
      </c>
      <c r="IE54" s="182" t="s">
        <v>517</v>
      </c>
      <c r="IF54" s="182" t="s">
        <v>517</v>
      </c>
      <c r="IG54" s="182" t="s">
        <v>517</v>
      </c>
      <c r="IH54" s="182" t="s">
        <v>517</v>
      </c>
      <c r="II54" s="182" t="s">
        <v>517</v>
      </c>
      <c r="IJ54" s="182" t="s">
        <v>517</v>
      </c>
      <c r="IK54" s="182" t="s">
        <v>517</v>
      </c>
      <c r="IL54" s="182" t="s">
        <v>517</v>
      </c>
      <c r="IM54" s="182" t="s">
        <v>517</v>
      </c>
      <c r="IN54" s="182" t="s">
        <v>517</v>
      </c>
      <c r="IO54" s="182" t="s">
        <v>623</v>
      </c>
      <c r="IP54" s="182" t="s">
        <v>623</v>
      </c>
      <c r="IQ54" s="182" t="s">
        <v>623</v>
      </c>
      <c r="IR54" s="182" t="s">
        <v>623</v>
      </c>
      <c r="IS54" s="182" t="s">
        <v>623</v>
      </c>
      <c r="IT54" s="182" t="s">
        <v>517</v>
      </c>
      <c r="IU54" s="182" t="s">
        <v>517</v>
      </c>
      <c r="IV54" s="182" t="s">
        <v>517</v>
      </c>
      <c r="IW54" s="182" t="s">
        <v>517</v>
      </c>
      <c r="IX54" s="182" t="s">
        <v>529</v>
      </c>
      <c r="IY54" s="182" t="s">
        <v>529</v>
      </c>
      <c r="IZ54" s="182" t="s">
        <v>529</v>
      </c>
      <c r="JA54" s="182" t="s">
        <v>517</v>
      </c>
      <c r="JB54" s="182" t="s">
        <v>517</v>
      </c>
      <c r="JC54" s="182" t="s">
        <v>589</v>
      </c>
      <c r="JD54" s="182" t="s">
        <v>526</v>
      </c>
      <c r="JE54" s="182" t="s">
        <v>526</v>
      </c>
      <c r="JF54" s="182" t="s">
        <v>526</v>
      </c>
      <c r="JG54" s="182" t="s">
        <v>533</v>
      </c>
      <c r="JH54" s="182" t="s">
        <v>517</v>
      </c>
      <c r="JI54" s="182" t="s">
        <v>517</v>
      </c>
      <c r="JJ54" s="182" t="s">
        <v>517</v>
      </c>
      <c r="JK54" s="182" t="s">
        <v>517</v>
      </c>
      <c r="JL54" s="182" t="s">
        <v>517</v>
      </c>
      <c r="JM54" s="182" t="s">
        <v>517</v>
      </c>
      <c r="JN54" s="182" t="s">
        <v>517</v>
      </c>
      <c r="JO54" s="182" t="s">
        <v>517</v>
      </c>
      <c r="JP54" s="182" t="s">
        <v>546</v>
      </c>
      <c r="JQ54" s="182" t="s">
        <v>546</v>
      </c>
      <c r="JR54" s="182" t="s">
        <v>546</v>
      </c>
      <c r="JS54" s="182" t="s">
        <v>517</v>
      </c>
      <c r="JT54" s="182" t="s">
        <v>526</v>
      </c>
      <c r="JU54" s="182" t="s">
        <v>517</v>
      </c>
      <c r="JV54" s="182" t="s">
        <v>517</v>
      </c>
      <c r="JW54" s="182" t="s">
        <v>517</v>
      </c>
      <c r="JX54" s="182" t="s">
        <v>517</v>
      </c>
      <c r="JY54" s="182" t="s">
        <v>517</v>
      </c>
      <c r="JZ54" s="182" t="s">
        <v>517</v>
      </c>
      <c r="KA54" s="182" t="s">
        <v>517</v>
      </c>
      <c r="KB54" s="182" t="s">
        <v>517</v>
      </c>
      <c r="KC54" s="182" t="s">
        <v>517</v>
      </c>
      <c r="KD54" s="182" t="s">
        <v>517</v>
      </c>
      <c r="KE54" s="182" t="s">
        <v>517</v>
      </c>
      <c r="KF54" s="182" t="s">
        <v>517</v>
      </c>
      <c r="KG54" s="182" t="s">
        <v>517</v>
      </c>
      <c r="KH54" s="182" t="s">
        <v>517</v>
      </c>
      <c r="KI54" s="182" t="s">
        <v>517</v>
      </c>
      <c r="KJ54" s="182" t="s">
        <v>517</v>
      </c>
      <c r="KK54" s="182" t="s">
        <v>517</v>
      </c>
      <c r="KL54" s="182" t="s">
        <v>517</v>
      </c>
      <c r="KM54" s="182" t="s">
        <v>533</v>
      </c>
      <c r="KN54" s="182" t="s">
        <v>533</v>
      </c>
      <c r="KO54" s="182" t="s">
        <v>533</v>
      </c>
      <c r="KP54" s="182" t="s">
        <v>533</v>
      </c>
      <c r="KQ54" s="182" t="s">
        <v>533</v>
      </c>
      <c r="KR54" s="182" t="s">
        <v>533</v>
      </c>
      <c r="KS54" s="182" t="s">
        <v>533</v>
      </c>
      <c r="KT54" s="182" t="s">
        <v>533</v>
      </c>
      <c r="KU54" s="182" t="s">
        <v>533</v>
      </c>
      <c r="KV54" s="182" t="s">
        <v>533</v>
      </c>
      <c r="KW54" s="182" t="s">
        <v>533</v>
      </c>
      <c r="KX54" s="182" t="s">
        <v>533</v>
      </c>
      <c r="KY54" s="182" t="s">
        <v>533</v>
      </c>
      <c r="KZ54" s="182" t="s">
        <v>517</v>
      </c>
      <c r="LA54" s="182" t="s">
        <v>517</v>
      </c>
      <c r="LB54" s="182" t="s">
        <v>517</v>
      </c>
      <c r="LC54" s="182" t="s">
        <v>517</v>
      </c>
      <c r="LD54" s="182" t="s">
        <v>517</v>
      </c>
      <c r="LE54" s="182" t="s">
        <v>517</v>
      </c>
      <c r="LF54" s="182" t="s">
        <v>546</v>
      </c>
      <c r="LG54" s="182" t="s">
        <v>546</v>
      </c>
      <c r="LH54" s="182" t="s">
        <v>546</v>
      </c>
      <c r="LI54" s="182" t="s">
        <v>547</v>
      </c>
      <c r="LJ54" s="182" t="s">
        <v>526</v>
      </c>
      <c r="LK54" s="182" t="s">
        <v>517</v>
      </c>
      <c r="LL54" s="182" t="s">
        <v>517</v>
      </c>
      <c r="LM54" s="182" t="s">
        <v>517</v>
      </c>
      <c r="LN54" s="182" t="s">
        <v>517</v>
      </c>
      <c r="LO54" s="182" t="s">
        <v>547</v>
      </c>
      <c r="LP54" s="182" t="s">
        <v>517</v>
      </c>
      <c r="LQ54" s="182" t="s">
        <v>517</v>
      </c>
      <c r="LR54" s="182" t="s">
        <v>517</v>
      </c>
      <c r="LS54" s="182" t="s">
        <v>517</v>
      </c>
      <c r="LT54" s="182" t="s">
        <v>517</v>
      </c>
      <c r="LU54" s="182" t="s">
        <v>526</v>
      </c>
      <c r="LV54" s="182" t="s">
        <v>526</v>
      </c>
      <c r="LW54" s="182" t="s">
        <v>526</v>
      </c>
      <c r="LX54" s="182" t="s">
        <v>517</v>
      </c>
      <c r="LY54" s="182" t="s">
        <v>517</v>
      </c>
      <c r="LZ54" s="182" t="s">
        <v>517</v>
      </c>
      <c r="MA54" s="182" t="s">
        <v>517</v>
      </c>
      <c r="MB54" s="182" t="s">
        <v>517</v>
      </c>
      <c r="MC54" s="182" t="s">
        <v>517</v>
      </c>
      <c r="MD54" s="182" t="s">
        <v>517</v>
      </c>
      <c r="ME54" s="182" t="s">
        <v>517</v>
      </c>
      <c r="MF54" s="182" t="s">
        <v>517</v>
      </c>
      <c r="MG54" s="182" t="s">
        <v>517</v>
      </c>
      <c r="MH54" s="182" t="s">
        <v>517</v>
      </c>
      <c r="MI54" s="182" t="s">
        <v>517</v>
      </c>
      <c r="MJ54" s="182" t="s">
        <v>526</v>
      </c>
      <c r="MK54" s="182" t="s">
        <v>517</v>
      </c>
      <c r="ML54" s="182" t="s">
        <v>517</v>
      </c>
      <c r="MM54" s="182" t="s">
        <v>517</v>
      </c>
      <c r="MN54" s="182" t="s">
        <v>517</v>
      </c>
      <c r="MO54" s="182" t="s">
        <v>526</v>
      </c>
      <c r="MP54" s="182" t="s">
        <v>591</v>
      </c>
      <c r="MQ54" s="182" t="s">
        <v>700</v>
      </c>
      <c r="MR54" s="182" t="s">
        <v>553</v>
      </c>
      <c r="MS54" s="182" t="s">
        <v>553</v>
      </c>
      <c r="MT54" s="182" t="s">
        <v>553</v>
      </c>
      <c r="MU54" s="182" t="s">
        <v>553</v>
      </c>
      <c r="MV54" s="182" t="s">
        <v>553</v>
      </c>
      <c r="MW54" s="182" t="s">
        <v>553</v>
      </c>
      <c r="MX54" s="182" t="s">
        <v>553</v>
      </c>
      <c r="MY54" s="182" t="s">
        <v>553</v>
      </c>
      <c r="MZ54" s="182" t="s">
        <v>553</v>
      </c>
      <c r="NA54" s="182" t="s">
        <v>553</v>
      </c>
      <c r="NB54" s="182" t="s">
        <v>591</v>
      </c>
      <c r="NC54" s="182" t="s">
        <v>624</v>
      </c>
      <c r="ND54" s="182" t="s">
        <v>531</v>
      </c>
      <c r="NE54" s="182" t="s">
        <v>531</v>
      </c>
      <c r="NF54" s="182" t="s">
        <v>531</v>
      </c>
      <c r="NG54" s="182" t="s">
        <v>531</v>
      </c>
      <c r="NH54" s="182" t="s">
        <v>531</v>
      </c>
      <c r="NI54" s="182" t="s">
        <v>625</v>
      </c>
      <c r="NJ54" s="182" t="s">
        <v>625</v>
      </c>
      <c r="NK54" s="182" t="s">
        <v>522</v>
      </c>
      <c r="NL54" s="182" t="s">
        <v>522</v>
      </c>
      <c r="NM54" s="182" t="s">
        <v>522</v>
      </c>
      <c r="NN54" s="182" t="s">
        <v>523</v>
      </c>
      <c r="NO54" s="182" t="s">
        <v>574</v>
      </c>
      <c r="NP54" s="182" t="s">
        <v>574</v>
      </c>
      <c r="NQ54" s="182" t="s">
        <v>523</v>
      </c>
      <c r="NR54" s="182" t="s">
        <v>523</v>
      </c>
      <c r="NS54" s="182" t="s">
        <v>626</v>
      </c>
      <c r="NT54" s="182" t="s">
        <v>627</v>
      </c>
      <c r="NU54" s="182" t="s">
        <v>627</v>
      </c>
      <c r="NV54" s="182" t="s">
        <v>627</v>
      </c>
      <c r="NW54" s="182" t="s">
        <v>628</v>
      </c>
      <c r="NX54" s="182" t="s">
        <v>628</v>
      </c>
      <c r="NY54" s="182" t="s">
        <v>628</v>
      </c>
      <c r="NZ54" s="182" t="s">
        <v>562</v>
      </c>
      <c r="OA54" s="182" t="s">
        <v>562</v>
      </c>
      <c r="OB54" s="182" t="s">
        <v>629</v>
      </c>
      <c r="OC54" s="182" t="s">
        <v>629</v>
      </c>
      <c r="OD54" s="182" t="s">
        <v>629</v>
      </c>
      <c r="OE54" s="182" t="s">
        <v>629</v>
      </c>
      <c r="OF54" s="182" t="s">
        <v>629</v>
      </c>
      <c r="OG54" s="182" t="s">
        <v>629</v>
      </c>
      <c r="OH54" s="182" t="s">
        <v>584</v>
      </c>
      <c r="OI54" s="182" t="s">
        <v>584</v>
      </c>
      <c r="OJ54" s="182" t="s">
        <v>584</v>
      </c>
      <c r="OK54" s="182" t="s">
        <v>584</v>
      </c>
      <c r="OL54" s="182" t="s">
        <v>584</v>
      </c>
      <c r="OM54" s="182" t="s">
        <v>584</v>
      </c>
      <c r="ON54" s="182" t="s">
        <v>584</v>
      </c>
      <c r="OO54" s="182" t="s">
        <v>584</v>
      </c>
      <c r="OP54" s="182" t="s">
        <v>539</v>
      </c>
      <c r="OQ54" s="182" t="s">
        <v>539</v>
      </c>
      <c r="OR54" s="182" t="s">
        <v>539</v>
      </c>
      <c r="OS54" s="182" t="s">
        <v>539</v>
      </c>
      <c r="OT54" s="182" t="s">
        <v>556</v>
      </c>
      <c r="OU54" s="182" t="s">
        <v>556</v>
      </c>
      <c r="OV54" s="182" t="s">
        <v>556</v>
      </c>
      <c r="OW54" s="182" t="s">
        <v>556</v>
      </c>
      <c r="OX54" s="182" t="s">
        <v>560</v>
      </c>
      <c r="OY54" s="182" t="s">
        <v>560</v>
      </c>
      <c r="OZ54" s="182" t="s">
        <v>560</v>
      </c>
      <c r="PA54" s="182" t="s">
        <v>560</v>
      </c>
      <c r="PB54" s="182" t="s">
        <v>592</v>
      </c>
      <c r="PC54" s="182" t="s">
        <v>592</v>
      </c>
      <c r="PD54" s="182" t="s">
        <v>592</v>
      </c>
      <c r="PE54" s="182" t="s">
        <v>592</v>
      </c>
      <c r="PF54" s="182" t="s">
        <v>592</v>
      </c>
      <c r="PG54" s="182" t="s">
        <v>592</v>
      </c>
      <c r="PH54" s="182" t="s">
        <v>592</v>
      </c>
      <c r="PI54" s="182" t="s">
        <v>592</v>
      </c>
      <c r="PJ54" s="182" t="s">
        <v>592</v>
      </c>
      <c r="PK54" s="182" t="s">
        <v>569</v>
      </c>
      <c r="PL54" s="182" t="s">
        <v>630</v>
      </c>
      <c r="PM54" s="182" t="s">
        <v>630</v>
      </c>
      <c r="PN54" s="182" t="s">
        <v>592</v>
      </c>
      <c r="PO54" s="182" t="s">
        <v>592</v>
      </c>
      <c r="PP54" s="182" t="s">
        <v>592</v>
      </c>
      <c r="PQ54" s="182" t="s">
        <v>592</v>
      </c>
      <c r="PR54" s="182" t="s">
        <v>592</v>
      </c>
      <c r="PS54" s="182" t="s">
        <v>549</v>
      </c>
      <c r="PT54" s="182" t="s">
        <v>549</v>
      </c>
      <c r="PU54" s="182" t="s">
        <v>569</v>
      </c>
      <c r="PV54" s="182" t="s">
        <v>596</v>
      </c>
      <c r="PW54" s="182" t="s">
        <v>596</v>
      </c>
      <c r="PX54" s="182" t="s">
        <v>631</v>
      </c>
      <c r="PY54" s="182" t="s">
        <v>631</v>
      </c>
      <c r="PZ54" s="182" t="s">
        <v>631</v>
      </c>
      <c r="QA54" s="182" t="s">
        <v>631</v>
      </c>
      <c r="QB54" s="182" t="s">
        <v>566</v>
      </c>
      <c r="QC54" s="182" t="s">
        <v>566</v>
      </c>
      <c r="QD54" s="182" t="s">
        <v>566</v>
      </c>
      <c r="QE54" s="182" t="s">
        <v>566</v>
      </c>
      <c r="QF54" s="182" t="s">
        <v>566</v>
      </c>
      <c r="QG54" s="182" t="s">
        <v>598</v>
      </c>
      <c r="QH54" s="182" t="s">
        <v>558</v>
      </c>
      <c r="QI54" s="182" t="s">
        <v>545</v>
      </c>
      <c r="QJ54" s="182" t="s">
        <v>545</v>
      </c>
      <c r="QK54" s="182" t="s">
        <v>545</v>
      </c>
      <c r="QL54" s="182" t="s">
        <v>545</v>
      </c>
      <c r="QM54" s="182" t="s">
        <v>558</v>
      </c>
      <c r="QN54" s="182" t="s">
        <v>558</v>
      </c>
      <c r="QO54" s="182" t="s">
        <v>558</v>
      </c>
      <c r="QP54" s="182" t="s">
        <v>558</v>
      </c>
      <c r="QQ54" s="182" t="s">
        <v>545</v>
      </c>
      <c r="QR54" s="182" t="s">
        <v>545</v>
      </c>
      <c r="QS54" s="182" t="s">
        <v>699</v>
      </c>
      <c r="QT54" s="182" t="s">
        <v>632</v>
      </c>
      <c r="QU54" s="182" t="s">
        <v>632</v>
      </c>
      <c r="QV54" s="182" t="s">
        <v>632</v>
      </c>
      <c r="QW54" s="182" t="s">
        <v>632</v>
      </c>
      <c r="QX54" s="182" t="s">
        <v>545</v>
      </c>
      <c r="QY54" s="182" t="s">
        <v>545</v>
      </c>
      <c r="QZ54" s="182" t="s">
        <v>545</v>
      </c>
      <c r="RA54" s="182" t="s">
        <v>545</v>
      </c>
      <c r="RB54" s="182" t="s">
        <v>545</v>
      </c>
      <c r="RC54" s="182" t="s">
        <v>545</v>
      </c>
      <c r="RD54" s="182" t="s">
        <v>545</v>
      </c>
      <c r="RE54" s="182" t="s">
        <v>545</v>
      </c>
      <c r="RF54" s="182" t="s">
        <v>558</v>
      </c>
      <c r="RG54" s="182" t="s">
        <v>558</v>
      </c>
      <c r="RH54" s="182" t="s">
        <v>545</v>
      </c>
      <c r="RI54" s="182" t="s">
        <v>545</v>
      </c>
      <c r="RJ54" s="182" t="s">
        <v>545</v>
      </c>
      <c r="RK54" s="182" t="s">
        <v>545</v>
      </c>
      <c r="RL54" s="182" t="s">
        <v>545</v>
      </c>
      <c r="RM54" s="182" t="s">
        <v>545</v>
      </c>
      <c r="RN54" s="182" t="s">
        <v>545</v>
      </c>
      <c r="RO54" s="182" t="s">
        <v>545</v>
      </c>
      <c r="RP54" s="182" t="s">
        <v>545</v>
      </c>
      <c r="RQ54" s="182" t="s">
        <v>561</v>
      </c>
      <c r="RR54" s="182" t="s">
        <v>561</v>
      </c>
      <c r="RS54" s="182" t="s">
        <v>561</v>
      </c>
      <c r="RT54" s="182" t="s">
        <v>633</v>
      </c>
      <c r="RU54" s="182" t="s">
        <v>633</v>
      </c>
      <c r="RV54" s="182" t="s">
        <v>633</v>
      </c>
      <c r="RW54" s="182" t="s">
        <v>633</v>
      </c>
      <c r="RX54" s="182" t="s">
        <v>696</v>
      </c>
      <c r="RY54" s="182" t="s">
        <v>696</v>
      </c>
      <c r="RZ54" s="182" t="s">
        <v>696</v>
      </c>
      <c r="SA54" s="182" t="s">
        <v>634</v>
      </c>
      <c r="SB54" s="182" t="s">
        <v>635</v>
      </c>
      <c r="SC54" s="182" t="s">
        <v>636</v>
      </c>
      <c r="SD54" s="182" t="s">
        <v>637</v>
      </c>
      <c r="SE54" s="182" t="s">
        <v>637</v>
      </c>
      <c r="SF54" s="182" t="s">
        <v>637</v>
      </c>
      <c r="SG54" s="182" t="s">
        <v>520</v>
      </c>
      <c r="SH54" s="182" t="s">
        <v>520</v>
      </c>
      <c r="SI54" s="182" t="s">
        <v>520</v>
      </c>
      <c r="SJ54" s="182" t="s">
        <v>520</v>
      </c>
      <c r="SK54" s="182" t="s">
        <v>520</v>
      </c>
      <c r="SL54" s="182" t="s">
        <v>520</v>
      </c>
      <c r="SM54" s="182" t="s">
        <v>638</v>
      </c>
      <c r="SN54" s="182" t="s">
        <v>638</v>
      </c>
      <c r="SO54" s="182" t="s">
        <v>638</v>
      </c>
      <c r="SP54" s="182" t="s">
        <v>538</v>
      </c>
      <c r="SQ54" s="182" t="s">
        <v>538</v>
      </c>
      <c r="SR54" s="182" t="s">
        <v>519</v>
      </c>
      <c r="SS54" s="182" t="s">
        <v>519</v>
      </c>
      <c r="ST54" s="182" t="s">
        <v>519</v>
      </c>
      <c r="SU54" s="182" t="s">
        <v>519</v>
      </c>
      <c r="SV54" s="182" t="s">
        <v>519</v>
      </c>
      <c r="SW54" s="182" t="s">
        <v>519</v>
      </c>
      <c r="SX54" s="182" t="s">
        <v>595</v>
      </c>
      <c r="SY54" s="182" t="s">
        <v>639</v>
      </c>
      <c r="SZ54" s="182" t="s">
        <v>639</v>
      </c>
      <c r="TA54" s="182" t="s">
        <v>639</v>
      </c>
      <c r="TB54" s="182" t="s">
        <v>639</v>
      </c>
      <c r="TC54" s="182" t="s">
        <v>639</v>
      </c>
      <c r="TD54" s="182" t="s">
        <v>639</v>
      </c>
      <c r="TE54" s="182" t="s">
        <v>679</v>
      </c>
      <c r="TF54" s="182" t="s">
        <v>570</v>
      </c>
      <c r="TG54" s="182" t="s">
        <v>570</v>
      </c>
      <c r="TH54" s="182" t="s">
        <v>570</v>
      </c>
      <c r="TI54" s="182" t="s">
        <v>570</v>
      </c>
      <c r="TJ54" s="182" t="s">
        <v>570</v>
      </c>
      <c r="TK54" s="182" t="s">
        <v>640</v>
      </c>
      <c r="TL54" s="182" t="s">
        <v>640</v>
      </c>
      <c r="TM54" s="182" t="s">
        <v>640</v>
      </c>
      <c r="TN54" s="182" t="s">
        <v>640</v>
      </c>
      <c r="TO54" s="182" t="s">
        <v>528</v>
      </c>
      <c r="TP54" s="182" t="s">
        <v>528</v>
      </c>
      <c r="TQ54" s="182" t="s">
        <v>528</v>
      </c>
      <c r="TR54" s="182" t="s">
        <v>528</v>
      </c>
      <c r="TS54" s="182" t="s">
        <v>528</v>
      </c>
      <c r="TT54" s="182" t="s">
        <v>641</v>
      </c>
      <c r="TU54" s="182" t="s">
        <v>641</v>
      </c>
      <c r="TV54" s="182" t="s">
        <v>641</v>
      </c>
      <c r="TW54" s="182" t="s">
        <v>641</v>
      </c>
      <c r="TX54" s="182" t="s">
        <v>577</v>
      </c>
      <c r="TY54" s="182" t="s">
        <v>577</v>
      </c>
      <c r="TZ54" s="182" t="s">
        <v>577</v>
      </c>
      <c r="UA54" s="182" t="s">
        <v>577</v>
      </c>
      <c r="UB54" s="182" t="s">
        <v>642</v>
      </c>
      <c r="UC54" s="182" t="s">
        <v>642</v>
      </c>
      <c r="UD54" s="182" t="s">
        <v>642</v>
      </c>
      <c r="UE54" s="182" t="s">
        <v>642</v>
      </c>
      <c r="UF54" s="182" t="s">
        <v>642</v>
      </c>
      <c r="UG54" s="182" t="s">
        <v>643</v>
      </c>
      <c r="UH54" s="182" t="s">
        <v>643</v>
      </c>
      <c r="UI54" s="182" t="s">
        <v>644</v>
      </c>
      <c r="UJ54" s="182" t="s">
        <v>644</v>
      </c>
      <c r="UK54" s="182" t="s">
        <v>644</v>
      </c>
      <c r="UL54" s="182" t="s">
        <v>645</v>
      </c>
      <c r="UM54" s="182" t="s">
        <v>645</v>
      </c>
      <c r="UN54" s="182" t="s">
        <v>575</v>
      </c>
      <c r="UO54" s="182" t="s">
        <v>575</v>
      </c>
      <c r="UP54" s="182" t="s">
        <v>575</v>
      </c>
      <c r="UQ54" s="182" t="s">
        <v>685</v>
      </c>
      <c r="UR54" s="182" t="s">
        <v>685</v>
      </c>
      <c r="US54" s="182" t="s">
        <v>685</v>
      </c>
      <c r="UT54" s="182" t="s">
        <v>698</v>
      </c>
      <c r="UU54" s="182" t="s">
        <v>698</v>
      </c>
      <c r="UV54" s="182" t="s">
        <v>698</v>
      </c>
      <c r="UW54" s="182" t="s">
        <v>571</v>
      </c>
      <c r="UX54" s="182" t="s">
        <v>571</v>
      </c>
      <c r="UY54" s="182" t="s">
        <v>571</v>
      </c>
      <c r="UZ54" s="182" t="s">
        <v>698</v>
      </c>
      <c r="VA54" s="182" t="s">
        <v>698</v>
      </c>
      <c r="VB54" s="182" t="s">
        <v>698</v>
      </c>
      <c r="VC54" s="182" t="s">
        <v>698</v>
      </c>
      <c r="VD54" s="182" t="s">
        <v>698</v>
      </c>
      <c r="VE54" s="182" t="s">
        <v>571</v>
      </c>
      <c r="VF54" s="182" t="s">
        <v>571</v>
      </c>
      <c r="VG54" s="182" t="s">
        <v>571</v>
      </c>
      <c r="VH54" s="182" t="s">
        <v>571</v>
      </c>
      <c r="VI54" s="182" t="s">
        <v>571</v>
      </c>
      <c r="VJ54" s="182" t="s">
        <v>571</v>
      </c>
      <c r="VK54" s="182" t="s">
        <v>685</v>
      </c>
      <c r="VL54" s="182" t="s">
        <v>571</v>
      </c>
      <c r="VM54" s="182" t="s">
        <v>571</v>
      </c>
      <c r="VN54" s="182" t="s">
        <v>535</v>
      </c>
      <c r="VO54" s="182" t="s">
        <v>535</v>
      </c>
      <c r="VP54" s="182" t="s">
        <v>535</v>
      </c>
      <c r="VQ54" s="182" t="s">
        <v>646</v>
      </c>
      <c r="VR54" s="182" t="s">
        <v>599</v>
      </c>
      <c r="VS54" s="182" t="s">
        <v>647</v>
      </c>
      <c r="VT54" s="182" t="s">
        <v>647</v>
      </c>
      <c r="VU54" s="182" t="s">
        <v>647</v>
      </c>
      <c r="VV54" s="182" t="s">
        <v>647</v>
      </c>
      <c r="VW54" s="182" t="s">
        <v>647</v>
      </c>
      <c r="VX54" s="182" t="s">
        <v>648</v>
      </c>
      <c r="VY54" s="182" t="s">
        <v>648</v>
      </c>
      <c r="VZ54" s="182" t="s">
        <v>648</v>
      </c>
      <c r="WA54" s="182" t="s">
        <v>651</v>
      </c>
      <c r="WB54" s="182" t="s">
        <v>692</v>
      </c>
      <c r="WC54" s="182" t="s">
        <v>692</v>
      </c>
      <c r="WD54" s="182" t="s">
        <v>649</v>
      </c>
      <c r="WE54" s="182" t="s">
        <v>649</v>
      </c>
      <c r="WF54" s="182" t="s">
        <v>778</v>
      </c>
      <c r="WG54" s="182" t="s">
        <v>778</v>
      </c>
      <c r="WH54" s="182" t="s">
        <v>778</v>
      </c>
      <c r="WI54" s="182" t="s">
        <v>778</v>
      </c>
      <c r="WJ54" s="182" t="s">
        <v>778</v>
      </c>
      <c r="WK54" s="182" t="s">
        <v>650</v>
      </c>
      <c r="WL54" s="182" t="s">
        <v>651</v>
      </c>
      <c r="WM54" s="182" t="s">
        <v>652</v>
      </c>
      <c r="WN54" s="182" t="s">
        <v>652</v>
      </c>
      <c r="WO54" s="182" t="s">
        <v>652</v>
      </c>
      <c r="ZL54" s="182" t="str">
        <f t="shared" si="1"/>
        <v>CARACAS -TURIN</v>
      </c>
      <c r="ZM54" s="183" t="s">
        <v>541</v>
      </c>
      <c r="ZN54" s="182" t="s">
        <v>543</v>
      </c>
      <c r="ZO54" s="182">
        <v>7959</v>
      </c>
      <c r="ZP54" s="198">
        <v>1663.431</v>
      </c>
      <c r="ZQ54" s="193"/>
      <c r="ZR54" s="193"/>
      <c r="ZS54" s="193"/>
      <c r="ZT54" s="193"/>
    </row>
    <row r="55" spans="1:696" s="192" customFormat="1" ht="28.8">
      <c r="A55" s="319">
        <f>AVERAGE(F55:ZC55)</f>
        <v>2694.6858552631579</v>
      </c>
      <c r="B55" s="175">
        <f>COUNT(F55:ZC55)</f>
        <v>608</v>
      </c>
      <c r="C55" s="318">
        <f>F57/B55</f>
        <v>0.63585470230262986</v>
      </c>
      <c r="D55" s="735"/>
      <c r="E55" s="189" t="s">
        <v>322</v>
      </c>
      <c r="F55" s="182">
        <v>1014</v>
      </c>
      <c r="G55" s="182">
        <v>1014</v>
      </c>
      <c r="H55" s="182">
        <v>1014</v>
      </c>
      <c r="I55" s="182">
        <v>1014</v>
      </c>
      <c r="J55" s="182">
        <v>1014</v>
      </c>
      <c r="K55" s="182">
        <v>1208</v>
      </c>
      <c r="L55" s="182">
        <v>1208</v>
      </c>
      <c r="M55" s="182">
        <v>7483</v>
      </c>
      <c r="N55" s="182">
        <v>7483</v>
      </c>
      <c r="O55" s="182">
        <v>7483</v>
      </c>
      <c r="P55" s="182">
        <v>14045</v>
      </c>
      <c r="Q55" s="182">
        <v>826</v>
      </c>
      <c r="R55" s="182">
        <v>826</v>
      </c>
      <c r="S55" s="182">
        <v>826</v>
      </c>
      <c r="T55" s="182">
        <v>826</v>
      </c>
      <c r="U55" s="182">
        <v>916</v>
      </c>
      <c r="V55" s="182">
        <v>916</v>
      </c>
      <c r="W55" s="182">
        <v>916</v>
      </c>
      <c r="X55" s="182">
        <v>566</v>
      </c>
      <c r="Y55" s="182">
        <v>566</v>
      </c>
      <c r="Z55" s="182">
        <v>547</v>
      </c>
      <c r="AA55" s="182">
        <v>1835</v>
      </c>
      <c r="AB55" s="182">
        <v>9820</v>
      </c>
      <c r="AC55" s="182">
        <v>9820</v>
      </c>
      <c r="AD55" s="182">
        <v>9820</v>
      </c>
      <c r="AE55" s="182">
        <v>357</v>
      </c>
      <c r="AF55" s="182">
        <v>542</v>
      </c>
      <c r="AG55" s="182">
        <v>1835</v>
      </c>
      <c r="AH55" s="182">
        <v>2377</v>
      </c>
      <c r="AI55" s="182">
        <v>9293</v>
      </c>
      <c r="AJ55" s="182">
        <v>5836</v>
      </c>
      <c r="AK55" s="182">
        <v>5836</v>
      </c>
      <c r="AL55" s="182">
        <v>5836</v>
      </c>
      <c r="AM55" s="182">
        <v>5836</v>
      </c>
      <c r="AN55" s="182">
        <v>5836</v>
      </c>
      <c r="AO55" s="182">
        <v>5836</v>
      </c>
      <c r="AP55" s="182">
        <v>5836</v>
      </c>
      <c r="AQ55" s="182">
        <v>433</v>
      </c>
      <c r="AR55" s="182">
        <v>433</v>
      </c>
      <c r="AS55" s="182">
        <v>11403</v>
      </c>
      <c r="AT55" s="182">
        <v>11403</v>
      </c>
      <c r="AU55" s="182">
        <v>563</v>
      </c>
      <c r="AV55" s="182">
        <v>912</v>
      </c>
      <c r="AW55" s="182">
        <v>912</v>
      </c>
      <c r="AX55" s="182">
        <v>1218</v>
      </c>
      <c r="AY55" s="182">
        <v>1240</v>
      </c>
      <c r="AZ55" s="182">
        <v>1240</v>
      </c>
      <c r="BA55" s="182">
        <v>8218</v>
      </c>
      <c r="BB55" s="182">
        <v>8274</v>
      </c>
      <c r="BC55" s="182">
        <v>8315</v>
      </c>
      <c r="BD55" s="182">
        <v>8315</v>
      </c>
      <c r="BE55" s="182">
        <v>8315</v>
      </c>
      <c r="BF55" s="182">
        <v>8315</v>
      </c>
      <c r="BG55" s="182">
        <v>8315</v>
      </c>
      <c r="BH55" s="182">
        <v>8357</v>
      </c>
      <c r="BI55" s="182">
        <v>8357</v>
      </c>
      <c r="BJ55" s="182">
        <v>8530</v>
      </c>
      <c r="BK55" s="182">
        <v>8530</v>
      </c>
      <c r="BL55" s="182">
        <v>9113</v>
      </c>
      <c r="BM55" s="182">
        <v>9265</v>
      </c>
      <c r="BN55" s="182">
        <v>9346</v>
      </c>
      <c r="BO55" s="182">
        <v>9346</v>
      </c>
      <c r="BP55" s="182">
        <v>9346</v>
      </c>
      <c r="BQ55" s="182">
        <v>9346</v>
      </c>
      <c r="BR55" s="182">
        <v>9346</v>
      </c>
      <c r="BS55" s="182">
        <v>9346</v>
      </c>
      <c r="BT55" s="182">
        <v>9346</v>
      </c>
      <c r="BU55" s="182">
        <v>9346</v>
      </c>
      <c r="BV55" s="182">
        <v>9346</v>
      </c>
      <c r="BW55" s="182">
        <v>9346</v>
      </c>
      <c r="BX55" s="182">
        <v>2620</v>
      </c>
      <c r="BY55" s="182">
        <v>2620</v>
      </c>
      <c r="BZ55" s="182">
        <v>2620</v>
      </c>
      <c r="CA55" s="182">
        <v>9326</v>
      </c>
      <c r="CB55" s="182">
        <v>9355</v>
      </c>
      <c r="CC55" s="182">
        <v>9355</v>
      </c>
      <c r="CD55" s="182">
        <v>947</v>
      </c>
      <c r="CE55" s="182">
        <v>947</v>
      </c>
      <c r="CF55" s="182">
        <v>947</v>
      </c>
      <c r="CG55" s="182">
        <v>1194</v>
      </c>
      <c r="CH55" s="182">
        <v>463</v>
      </c>
      <c r="CI55" s="182">
        <v>575</v>
      </c>
      <c r="CJ55" s="182">
        <v>575</v>
      </c>
      <c r="CK55" s="182">
        <v>575</v>
      </c>
      <c r="CL55" s="182">
        <v>575</v>
      </c>
      <c r="CM55" s="182">
        <v>575</v>
      </c>
      <c r="CN55" s="182">
        <v>575</v>
      </c>
      <c r="CO55" s="182">
        <v>575</v>
      </c>
      <c r="CP55" s="182">
        <v>575</v>
      </c>
      <c r="CQ55" s="182">
        <v>575</v>
      </c>
      <c r="CR55" s="182">
        <v>575</v>
      </c>
      <c r="CS55" s="182">
        <v>575</v>
      </c>
      <c r="CT55" s="182">
        <v>575</v>
      </c>
      <c r="CU55" s="182">
        <v>631</v>
      </c>
      <c r="CV55" s="182">
        <v>631</v>
      </c>
      <c r="CW55" s="182">
        <v>631</v>
      </c>
      <c r="CX55" s="182">
        <v>668</v>
      </c>
      <c r="CY55" s="182">
        <v>1019</v>
      </c>
      <c r="CZ55" s="182">
        <v>881</v>
      </c>
      <c r="DA55" s="182">
        <v>945</v>
      </c>
      <c r="DB55" s="182">
        <v>945</v>
      </c>
      <c r="DC55" s="182">
        <v>976</v>
      </c>
      <c r="DD55" s="182">
        <v>5007</v>
      </c>
      <c r="DE55" s="182">
        <v>9514</v>
      </c>
      <c r="DF55" s="182">
        <v>9514</v>
      </c>
      <c r="DG55" s="182">
        <v>9514</v>
      </c>
      <c r="DH55" s="182">
        <v>9514</v>
      </c>
      <c r="DI55" s="182">
        <v>9514</v>
      </c>
      <c r="DJ55" s="182">
        <v>467</v>
      </c>
      <c r="DK55" s="182">
        <v>467</v>
      </c>
      <c r="DL55" s="182">
        <v>504</v>
      </c>
      <c r="DM55" s="182">
        <v>531</v>
      </c>
      <c r="DN55" s="182">
        <v>531</v>
      </c>
      <c r="DO55" s="182">
        <v>531</v>
      </c>
      <c r="DP55" s="182">
        <v>531</v>
      </c>
      <c r="DQ55" s="182">
        <v>531</v>
      </c>
      <c r="DR55" s="182">
        <v>531</v>
      </c>
      <c r="DS55" s="182">
        <v>531</v>
      </c>
      <c r="DT55" s="182">
        <v>531</v>
      </c>
      <c r="DU55" s="182">
        <v>531</v>
      </c>
      <c r="DV55" s="182">
        <v>531</v>
      </c>
      <c r="DW55" s="182">
        <v>681</v>
      </c>
      <c r="DX55" s="182">
        <v>681</v>
      </c>
      <c r="DY55" s="182">
        <v>681</v>
      </c>
      <c r="DZ55" s="182">
        <v>830</v>
      </c>
      <c r="EA55" s="182">
        <v>830</v>
      </c>
      <c r="EB55" s="182">
        <v>1102</v>
      </c>
      <c r="EC55" s="182">
        <v>912</v>
      </c>
      <c r="ED55" s="182">
        <v>912</v>
      </c>
      <c r="EE55" s="182">
        <v>912</v>
      </c>
      <c r="EF55" s="182">
        <v>912</v>
      </c>
      <c r="EG55" s="182">
        <v>912</v>
      </c>
      <c r="EH55" s="182">
        <v>912</v>
      </c>
      <c r="EI55" s="182">
        <v>912</v>
      </c>
      <c r="EJ55" s="182">
        <v>912</v>
      </c>
      <c r="EK55" s="182">
        <v>912</v>
      </c>
      <c r="EL55" s="182">
        <v>1292</v>
      </c>
      <c r="EM55" s="182">
        <v>1292</v>
      </c>
      <c r="EN55" s="182">
        <v>7231</v>
      </c>
      <c r="EO55" s="182">
        <v>7231</v>
      </c>
      <c r="EP55" s="182">
        <v>1151</v>
      </c>
      <c r="EQ55" s="182">
        <v>2441</v>
      </c>
      <c r="ER55" s="182">
        <v>6665</v>
      </c>
      <c r="ES55" s="182">
        <v>277</v>
      </c>
      <c r="ET55" s="182">
        <v>298</v>
      </c>
      <c r="EU55" s="182">
        <v>298</v>
      </c>
      <c r="EV55" s="182">
        <v>298</v>
      </c>
      <c r="EW55" s="182">
        <v>298</v>
      </c>
      <c r="EX55" s="182">
        <v>299</v>
      </c>
      <c r="EY55" s="182">
        <v>299</v>
      </c>
      <c r="EZ55" s="182">
        <v>299</v>
      </c>
      <c r="FA55" s="182">
        <v>299</v>
      </c>
      <c r="FB55" s="182">
        <v>336</v>
      </c>
      <c r="FC55" s="182">
        <v>357</v>
      </c>
      <c r="FD55" s="182">
        <v>358</v>
      </c>
      <c r="FE55" s="182">
        <v>358</v>
      </c>
      <c r="FF55" s="182">
        <v>359</v>
      </c>
      <c r="FG55" s="182">
        <v>359</v>
      </c>
      <c r="FH55" s="182">
        <v>359</v>
      </c>
      <c r="FI55" s="182">
        <v>359</v>
      </c>
      <c r="FJ55" s="182">
        <v>359</v>
      </c>
      <c r="FK55" s="182">
        <v>359</v>
      </c>
      <c r="FL55" s="182">
        <v>359</v>
      </c>
      <c r="FM55" s="182">
        <v>359</v>
      </c>
      <c r="FN55" s="182">
        <v>359</v>
      </c>
      <c r="FO55" s="182">
        <v>359</v>
      </c>
      <c r="FP55" s="182">
        <v>359</v>
      </c>
      <c r="FQ55" s="182">
        <v>359</v>
      </c>
      <c r="FR55" s="182">
        <v>359</v>
      </c>
      <c r="FS55" s="182">
        <v>359</v>
      </c>
      <c r="FT55" s="182">
        <v>359</v>
      </c>
      <c r="FU55" s="182">
        <v>359</v>
      </c>
      <c r="FV55" s="182">
        <v>359</v>
      </c>
      <c r="FW55" s="182">
        <v>359</v>
      </c>
      <c r="FX55" s="182">
        <v>359</v>
      </c>
      <c r="FY55" s="182">
        <v>359</v>
      </c>
      <c r="FZ55" s="182">
        <v>359</v>
      </c>
      <c r="GA55" s="182">
        <v>359</v>
      </c>
      <c r="GB55" s="182">
        <v>359</v>
      </c>
      <c r="GC55" s="182">
        <v>359</v>
      </c>
      <c r="GD55" s="182">
        <v>359</v>
      </c>
      <c r="GE55" s="182">
        <v>359</v>
      </c>
      <c r="GF55" s="182">
        <v>359</v>
      </c>
      <c r="GG55" s="182">
        <v>359</v>
      </c>
      <c r="GH55" s="182">
        <v>359</v>
      </c>
      <c r="GI55" s="182">
        <v>359</v>
      </c>
      <c r="GJ55" s="182">
        <v>359</v>
      </c>
      <c r="GK55" s="182">
        <v>359</v>
      </c>
      <c r="GL55" s="182">
        <v>359</v>
      </c>
      <c r="GM55" s="182">
        <v>359</v>
      </c>
      <c r="GN55" s="182">
        <v>359</v>
      </c>
      <c r="GO55" s="182">
        <v>359</v>
      </c>
      <c r="GP55" s="182">
        <v>359</v>
      </c>
      <c r="GQ55" s="182">
        <v>359</v>
      </c>
      <c r="GR55" s="182">
        <v>359</v>
      </c>
      <c r="GS55" s="182">
        <v>359</v>
      </c>
      <c r="GT55" s="182">
        <v>359</v>
      </c>
      <c r="GU55" s="182">
        <v>359</v>
      </c>
      <c r="GV55" s="182">
        <v>359</v>
      </c>
      <c r="GW55" s="182">
        <v>359</v>
      </c>
      <c r="GX55" s="182">
        <v>384</v>
      </c>
      <c r="GY55" s="182">
        <v>384</v>
      </c>
      <c r="GZ55" s="182">
        <v>384</v>
      </c>
      <c r="HA55" s="182">
        <v>384</v>
      </c>
      <c r="HB55" s="182">
        <v>392</v>
      </c>
      <c r="HC55" s="182">
        <v>392</v>
      </c>
      <c r="HD55" s="182">
        <v>392</v>
      </c>
      <c r="HE55" s="182">
        <v>392</v>
      </c>
      <c r="HF55" s="182">
        <v>392</v>
      </c>
      <c r="HG55" s="182">
        <v>392</v>
      </c>
      <c r="HH55" s="182">
        <v>435</v>
      </c>
      <c r="HI55" s="182">
        <v>435</v>
      </c>
      <c r="HJ55" s="182">
        <v>435</v>
      </c>
      <c r="HK55" s="182">
        <v>435</v>
      </c>
      <c r="HL55" s="182">
        <v>435</v>
      </c>
      <c r="HM55" s="182">
        <v>435</v>
      </c>
      <c r="HN55" s="182">
        <v>435</v>
      </c>
      <c r="HO55" s="182">
        <v>515</v>
      </c>
      <c r="HP55" s="182">
        <v>515</v>
      </c>
      <c r="HQ55" s="182">
        <v>515</v>
      </c>
      <c r="HR55" s="182">
        <v>515</v>
      </c>
      <c r="HS55" s="182">
        <v>515</v>
      </c>
      <c r="HT55" s="182">
        <v>515</v>
      </c>
      <c r="HU55" s="182">
        <v>515</v>
      </c>
      <c r="HV55" s="182">
        <v>515</v>
      </c>
      <c r="HW55" s="182">
        <v>515</v>
      </c>
      <c r="HX55" s="182">
        <v>515</v>
      </c>
      <c r="HY55" s="182">
        <v>515</v>
      </c>
      <c r="HZ55" s="182">
        <v>515</v>
      </c>
      <c r="IA55" s="182">
        <v>515</v>
      </c>
      <c r="IB55" s="182">
        <v>515</v>
      </c>
      <c r="IC55" s="182">
        <v>531</v>
      </c>
      <c r="ID55" s="182">
        <v>531</v>
      </c>
      <c r="IE55" s="182">
        <v>531</v>
      </c>
      <c r="IF55" s="182">
        <v>531</v>
      </c>
      <c r="IG55" s="182">
        <v>531</v>
      </c>
      <c r="IH55" s="182">
        <v>531</v>
      </c>
      <c r="II55" s="182">
        <v>531</v>
      </c>
      <c r="IJ55" s="182">
        <v>545</v>
      </c>
      <c r="IK55" s="182">
        <v>550</v>
      </c>
      <c r="IL55" s="182">
        <v>550</v>
      </c>
      <c r="IM55" s="182">
        <v>557</v>
      </c>
      <c r="IN55" s="182">
        <v>557</v>
      </c>
      <c r="IO55" s="182">
        <v>559</v>
      </c>
      <c r="IP55" s="182">
        <v>559</v>
      </c>
      <c r="IQ55" s="182">
        <v>559</v>
      </c>
      <c r="IR55" s="182">
        <v>559</v>
      </c>
      <c r="IS55" s="182">
        <v>559</v>
      </c>
      <c r="IT55" s="182">
        <v>560</v>
      </c>
      <c r="IU55" s="182">
        <v>560</v>
      </c>
      <c r="IV55" s="182">
        <v>562</v>
      </c>
      <c r="IW55" s="182">
        <v>562</v>
      </c>
      <c r="IX55" s="182">
        <v>565</v>
      </c>
      <c r="IY55" s="182">
        <v>565</v>
      </c>
      <c r="IZ55" s="182">
        <v>565</v>
      </c>
      <c r="JA55" s="182">
        <v>565</v>
      </c>
      <c r="JB55" s="182">
        <v>565</v>
      </c>
      <c r="JC55" s="182">
        <v>612</v>
      </c>
      <c r="JD55" s="182">
        <v>686</v>
      </c>
      <c r="JE55" s="182">
        <v>686</v>
      </c>
      <c r="JF55" s="182">
        <v>686</v>
      </c>
      <c r="JG55" s="182">
        <v>700</v>
      </c>
      <c r="JH55" s="182">
        <v>750</v>
      </c>
      <c r="JI55" s="182">
        <v>750</v>
      </c>
      <c r="JJ55" s="182">
        <v>750</v>
      </c>
      <c r="JK55" s="182">
        <v>750</v>
      </c>
      <c r="JL55" s="182">
        <v>750</v>
      </c>
      <c r="JM55" s="182">
        <v>763</v>
      </c>
      <c r="JN55" s="182">
        <v>763</v>
      </c>
      <c r="JO55" s="182">
        <v>763</v>
      </c>
      <c r="JP55" s="182">
        <v>791</v>
      </c>
      <c r="JQ55" s="182">
        <v>791</v>
      </c>
      <c r="JR55" s="182">
        <v>791</v>
      </c>
      <c r="JS55" s="182">
        <v>817</v>
      </c>
      <c r="JT55" s="182">
        <v>830</v>
      </c>
      <c r="JU55" s="182">
        <v>860</v>
      </c>
      <c r="JV55" s="182">
        <v>893</v>
      </c>
      <c r="JW55" s="182">
        <v>1100</v>
      </c>
      <c r="JX55" s="182">
        <v>1100</v>
      </c>
      <c r="JY55" s="182">
        <v>1100</v>
      </c>
      <c r="JZ55" s="182">
        <v>912</v>
      </c>
      <c r="KA55" s="182">
        <v>912</v>
      </c>
      <c r="KB55" s="182">
        <v>912</v>
      </c>
      <c r="KC55" s="182">
        <v>912</v>
      </c>
      <c r="KD55" s="182">
        <v>916</v>
      </c>
      <c r="KE55" s="182">
        <v>916</v>
      </c>
      <c r="KF55" s="182">
        <v>916</v>
      </c>
      <c r="KG55" s="182">
        <v>1159</v>
      </c>
      <c r="KH55" s="182">
        <v>1159</v>
      </c>
      <c r="KI55" s="182">
        <v>1159</v>
      </c>
      <c r="KJ55" s="182">
        <v>1159</v>
      </c>
      <c r="KK55" s="182">
        <v>1159</v>
      </c>
      <c r="KL55" s="182">
        <v>1159</v>
      </c>
      <c r="KM55" s="182">
        <v>976</v>
      </c>
      <c r="KN55" s="182">
        <v>976</v>
      </c>
      <c r="KO55" s="182">
        <v>976</v>
      </c>
      <c r="KP55" s="182">
        <v>976</v>
      </c>
      <c r="KQ55" s="182">
        <v>976</v>
      </c>
      <c r="KR55" s="182">
        <v>976</v>
      </c>
      <c r="KS55" s="182">
        <v>976</v>
      </c>
      <c r="KT55" s="182">
        <v>976</v>
      </c>
      <c r="KU55" s="182">
        <v>976</v>
      </c>
      <c r="KV55" s="182">
        <v>976</v>
      </c>
      <c r="KW55" s="182">
        <v>976</v>
      </c>
      <c r="KX55" s="182">
        <v>976</v>
      </c>
      <c r="KY55" s="182">
        <v>976</v>
      </c>
      <c r="KZ55" s="182">
        <v>1194</v>
      </c>
      <c r="LA55" s="182">
        <v>1194</v>
      </c>
      <c r="LB55" s="182">
        <v>1194</v>
      </c>
      <c r="LC55" s="182">
        <v>1220</v>
      </c>
      <c r="LD55" s="182">
        <v>1220</v>
      </c>
      <c r="LE55" s="182">
        <v>1224</v>
      </c>
      <c r="LF55" s="182">
        <v>1362</v>
      </c>
      <c r="LG55" s="182">
        <v>1362</v>
      </c>
      <c r="LH55" s="182">
        <v>1362</v>
      </c>
      <c r="LI55" s="182">
        <v>1366</v>
      </c>
      <c r="LJ55" s="182">
        <v>1366</v>
      </c>
      <c r="LK55" s="182">
        <v>1378</v>
      </c>
      <c r="LL55" s="182">
        <v>1388</v>
      </c>
      <c r="LM55" s="182">
        <v>1415</v>
      </c>
      <c r="LN55" s="182">
        <v>1415</v>
      </c>
      <c r="LO55" s="182">
        <v>1560</v>
      </c>
      <c r="LP55" s="182">
        <v>1731</v>
      </c>
      <c r="LQ55" s="182">
        <v>1731</v>
      </c>
      <c r="LR55" s="182">
        <v>2206</v>
      </c>
      <c r="LS55" s="182">
        <v>1815</v>
      </c>
      <c r="LT55" s="182">
        <v>1815</v>
      </c>
      <c r="LU55" s="182">
        <v>1880</v>
      </c>
      <c r="LV55" s="182">
        <v>2325</v>
      </c>
      <c r="LW55" s="182">
        <v>2325</v>
      </c>
      <c r="LX55" s="182">
        <v>1992</v>
      </c>
      <c r="LY55" s="182">
        <v>1992</v>
      </c>
      <c r="LZ55" s="182">
        <v>3762</v>
      </c>
      <c r="MA55" s="182">
        <v>3762</v>
      </c>
      <c r="MB55" s="182">
        <v>3865</v>
      </c>
      <c r="MC55" s="182">
        <v>3865</v>
      </c>
      <c r="MD55" s="182">
        <v>3865</v>
      </c>
      <c r="ME55" s="182">
        <v>5836</v>
      </c>
      <c r="MF55" s="182">
        <v>4398</v>
      </c>
      <c r="MG55" s="182">
        <v>4989</v>
      </c>
      <c r="MH55" s="182">
        <v>8144</v>
      </c>
      <c r="MI55" s="182">
        <v>8144</v>
      </c>
      <c r="MJ55" s="182">
        <v>8218</v>
      </c>
      <c r="MK55" s="182">
        <v>8274</v>
      </c>
      <c r="ML55" s="182">
        <v>8315</v>
      </c>
      <c r="MM55" s="182">
        <v>8315</v>
      </c>
      <c r="MN55" s="182">
        <v>8357</v>
      </c>
      <c r="MO55" s="182">
        <v>9730</v>
      </c>
      <c r="MP55" s="182">
        <v>291</v>
      </c>
      <c r="MQ55" s="182">
        <v>352</v>
      </c>
      <c r="MR55" s="182">
        <v>530</v>
      </c>
      <c r="MS55" s="182">
        <v>735</v>
      </c>
      <c r="MT55" s="182">
        <v>735</v>
      </c>
      <c r="MU55" s="182">
        <v>735</v>
      </c>
      <c r="MV55" s="182">
        <v>735</v>
      </c>
      <c r="MW55" s="182">
        <v>735</v>
      </c>
      <c r="MX55" s="182">
        <v>735</v>
      </c>
      <c r="MY55" s="182">
        <v>735</v>
      </c>
      <c r="MZ55" s="182">
        <v>735</v>
      </c>
      <c r="NA55" s="182">
        <v>735</v>
      </c>
      <c r="NB55" s="182">
        <v>795</v>
      </c>
      <c r="NC55" s="182">
        <v>1026</v>
      </c>
      <c r="ND55" s="182">
        <v>892</v>
      </c>
      <c r="NE55" s="182">
        <v>892</v>
      </c>
      <c r="NF55" s="182">
        <v>892</v>
      </c>
      <c r="NG55" s="182">
        <v>892</v>
      </c>
      <c r="NH55" s="182">
        <v>892</v>
      </c>
      <c r="NI55" s="182">
        <v>1248</v>
      </c>
      <c r="NJ55" s="182">
        <v>1248</v>
      </c>
      <c r="NK55" s="182">
        <v>230</v>
      </c>
      <c r="NL55" s="182">
        <v>230</v>
      </c>
      <c r="NM55" s="182">
        <v>230</v>
      </c>
      <c r="NN55" s="182">
        <v>230</v>
      </c>
      <c r="NO55" s="182">
        <v>1569</v>
      </c>
      <c r="NP55" s="182">
        <v>1569</v>
      </c>
      <c r="NQ55" s="182">
        <v>2004</v>
      </c>
      <c r="NR55" s="182">
        <v>2004</v>
      </c>
      <c r="NS55" s="182">
        <v>2020</v>
      </c>
      <c r="NT55" s="182">
        <v>2062</v>
      </c>
      <c r="NU55" s="182">
        <v>2062</v>
      </c>
      <c r="NV55" s="182">
        <v>2062</v>
      </c>
      <c r="NW55" s="182">
        <v>2206</v>
      </c>
      <c r="NX55" s="182">
        <v>2206</v>
      </c>
      <c r="NY55" s="182">
        <v>2206</v>
      </c>
      <c r="NZ55" s="182">
        <v>188</v>
      </c>
      <c r="OA55" s="182">
        <v>188</v>
      </c>
      <c r="OB55" s="182">
        <v>7117</v>
      </c>
      <c r="OC55" s="182">
        <v>7117</v>
      </c>
      <c r="OD55" s="182">
        <v>7117</v>
      </c>
      <c r="OE55" s="182">
        <v>7117</v>
      </c>
      <c r="OF55" s="182">
        <v>7117</v>
      </c>
      <c r="OG55" s="182">
        <v>7117</v>
      </c>
      <c r="OH55" s="182">
        <v>9628</v>
      </c>
      <c r="OI55" s="182">
        <v>9628</v>
      </c>
      <c r="OJ55" s="182">
        <v>9628</v>
      </c>
      <c r="OK55" s="182">
        <v>9628</v>
      </c>
      <c r="OL55" s="182">
        <v>9628</v>
      </c>
      <c r="OM55" s="182">
        <v>9628</v>
      </c>
      <c r="ON55" s="182">
        <v>9628</v>
      </c>
      <c r="OO55" s="182">
        <v>9628</v>
      </c>
      <c r="OP55" s="182">
        <v>1100</v>
      </c>
      <c r="OQ55" s="182">
        <v>1100</v>
      </c>
      <c r="OR55" s="182">
        <v>1100</v>
      </c>
      <c r="OS55" s="182">
        <v>1100</v>
      </c>
      <c r="OT55" s="182">
        <v>1160</v>
      </c>
      <c r="OU55" s="182">
        <v>1160</v>
      </c>
      <c r="OV55" s="182">
        <v>1160</v>
      </c>
      <c r="OW55" s="182">
        <v>1160</v>
      </c>
      <c r="OX55" s="182">
        <v>550</v>
      </c>
      <c r="OY55" s="182">
        <v>550</v>
      </c>
      <c r="OZ55" s="182">
        <v>550</v>
      </c>
      <c r="PA55" s="182">
        <v>550</v>
      </c>
      <c r="PB55" s="182">
        <v>749</v>
      </c>
      <c r="PC55" s="182">
        <v>749</v>
      </c>
      <c r="PD55" s="182">
        <v>749</v>
      </c>
      <c r="PE55" s="182">
        <v>749</v>
      </c>
      <c r="PF55" s="182">
        <v>749</v>
      </c>
      <c r="PG55" s="182">
        <v>749</v>
      </c>
      <c r="PH55" s="182">
        <v>749</v>
      </c>
      <c r="PI55" s="182">
        <v>749</v>
      </c>
      <c r="PJ55" s="182">
        <v>749</v>
      </c>
      <c r="PK55" s="182">
        <v>1074</v>
      </c>
      <c r="PL55" s="182">
        <v>916</v>
      </c>
      <c r="PM55" s="182">
        <v>916</v>
      </c>
      <c r="PN55" s="182">
        <v>1211</v>
      </c>
      <c r="PO55" s="182">
        <v>1211</v>
      </c>
      <c r="PP55" s="182">
        <v>1211</v>
      </c>
      <c r="PQ55" s="182">
        <v>1211</v>
      </c>
      <c r="PR55" s="182">
        <v>1211</v>
      </c>
      <c r="PS55" s="182">
        <v>1250</v>
      </c>
      <c r="PT55" s="182">
        <v>1250</v>
      </c>
      <c r="PU55" s="182">
        <v>1482</v>
      </c>
      <c r="PV55" s="182">
        <v>1683</v>
      </c>
      <c r="PW55" s="182">
        <v>8503</v>
      </c>
      <c r="PX55" s="182">
        <v>9695</v>
      </c>
      <c r="PY55" s="182">
        <v>9695</v>
      </c>
      <c r="PZ55" s="182">
        <v>9695</v>
      </c>
      <c r="QA55" s="182">
        <v>9695</v>
      </c>
      <c r="QB55" s="182">
        <v>9729</v>
      </c>
      <c r="QC55" s="182">
        <v>9909</v>
      </c>
      <c r="QD55" s="182">
        <v>9909</v>
      </c>
      <c r="QE55" s="182">
        <v>9909</v>
      </c>
      <c r="QF55" s="182">
        <v>9909</v>
      </c>
      <c r="QG55" s="182">
        <v>439</v>
      </c>
      <c r="QH55" s="182">
        <v>1200</v>
      </c>
      <c r="QI55" s="182">
        <v>1362</v>
      </c>
      <c r="QJ55" s="182">
        <v>1362</v>
      </c>
      <c r="QK55" s="182">
        <v>1362</v>
      </c>
      <c r="QL55" s="182">
        <v>1362</v>
      </c>
      <c r="QM55" s="182">
        <v>1366</v>
      </c>
      <c r="QN55" s="182">
        <v>1548</v>
      </c>
      <c r="QO55" s="182">
        <v>1548</v>
      </c>
      <c r="QP55" s="182">
        <v>1548</v>
      </c>
      <c r="QQ55" s="182">
        <v>1560</v>
      </c>
      <c r="QR55" s="182">
        <v>1560</v>
      </c>
      <c r="QS55" s="182">
        <v>1615</v>
      </c>
      <c r="QT55" s="182">
        <v>1638</v>
      </c>
      <c r="QU55" s="182">
        <v>1638</v>
      </c>
      <c r="QV55" s="182">
        <v>1638</v>
      </c>
      <c r="QW55" s="182">
        <v>1638</v>
      </c>
      <c r="QX55" s="182">
        <v>2114</v>
      </c>
      <c r="QY55" s="182">
        <v>2114</v>
      </c>
      <c r="QZ55" s="182">
        <v>2114</v>
      </c>
      <c r="RA55" s="182">
        <v>2114</v>
      </c>
      <c r="RB55" s="182">
        <v>2114</v>
      </c>
      <c r="RC55" s="182">
        <v>2114</v>
      </c>
      <c r="RD55" s="182">
        <v>2114</v>
      </c>
      <c r="RE55" s="182">
        <v>2114</v>
      </c>
      <c r="RF55" s="182">
        <v>1757</v>
      </c>
      <c r="RG55" s="182">
        <v>1779</v>
      </c>
      <c r="RH55" s="182">
        <v>1880</v>
      </c>
      <c r="RI55" s="182">
        <v>1880</v>
      </c>
      <c r="RJ55" s="182">
        <v>1880</v>
      </c>
      <c r="RK55" s="182">
        <v>1880</v>
      </c>
      <c r="RL55" s="182">
        <v>1880</v>
      </c>
      <c r="RM55" s="182">
        <v>1880</v>
      </c>
      <c r="RN55" s="182">
        <v>1880</v>
      </c>
      <c r="RO55" s="182">
        <v>1880</v>
      </c>
      <c r="RP55" s="182">
        <v>1880</v>
      </c>
      <c r="RQ55" s="182">
        <v>6990</v>
      </c>
      <c r="RR55" s="182">
        <v>6990</v>
      </c>
      <c r="RS55" s="182">
        <v>6990</v>
      </c>
      <c r="RT55" s="182">
        <v>9065</v>
      </c>
      <c r="RU55" s="182">
        <v>9065</v>
      </c>
      <c r="RV55" s="182">
        <v>9065</v>
      </c>
      <c r="RW55" s="182">
        <v>9065</v>
      </c>
      <c r="RX55" s="182">
        <v>1007</v>
      </c>
      <c r="RY55" s="182">
        <v>8503</v>
      </c>
      <c r="RZ55" s="182">
        <v>8503</v>
      </c>
      <c r="SA55" s="182">
        <v>9079</v>
      </c>
      <c r="SB55" s="182">
        <v>9412</v>
      </c>
      <c r="SC55" s="182">
        <v>1622</v>
      </c>
      <c r="SD55" s="182">
        <v>1996</v>
      </c>
      <c r="SE55" s="182">
        <v>1996</v>
      </c>
      <c r="SF55" s="182">
        <v>1996</v>
      </c>
      <c r="SG55" s="182">
        <v>735</v>
      </c>
      <c r="SH55" s="182">
        <v>735</v>
      </c>
      <c r="SI55" s="182">
        <v>735</v>
      </c>
      <c r="SJ55" s="182">
        <v>735</v>
      </c>
      <c r="SK55" s="182">
        <v>735</v>
      </c>
      <c r="SL55" s="182">
        <v>735</v>
      </c>
      <c r="SM55" s="182">
        <v>1077</v>
      </c>
      <c r="SN55" s="182">
        <v>1077</v>
      </c>
      <c r="SO55" s="182">
        <v>1077</v>
      </c>
      <c r="SP55" s="182">
        <v>1159</v>
      </c>
      <c r="SQ55" s="182">
        <v>1378</v>
      </c>
      <c r="SR55" s="182">
        <v>1198</v>
      </c>
      <c r="SS55" s="182">
        <v>1198</v>
      </c>
      <c r="ST55" s="182">
        <v>1198</v>
      </c>
      <c r="SU55" s="182">
        <v>1198</v>
      </c>
      <c r="SV55" s="182">
        <v>1198</v>
      </c>
      <c r="SW55" s="182">
        <v>1198</v>
      </c>
      <c r="SX55" s="182">
        <v>1388</v>
      </c>
      <c r="SY55" s="182">
        <v>860</v>
      </c>
      <c r="SZ55" s="182">
        <v>860</v>
      </c>
      <c r="TA55" s="182">
        <v>860</v>
      </c>
      <c r="TB55" s="182">
        <v>860</v>
      </c>
      <c r="TC55" s="182">
        <v>860</v>
      </c>
      <c r="TD55" s="182">
        <v>882</v>
      </c>
      <c r="TE55" s="182">
        <v>9368</v>
      </c>
      <c r="TF55" s="182">
        <v>1335</v>
      </c>
      <c r="TG55" s="182">
        <v>1335</v>
      </c>
      <c r="TH55" s="182">
        <v>1444</v>
      </c>
      <c r="TI55" s="182">
        <v>1444</v>
      </c>
      <c r="TJ55" s="182">
        <v>1444</v>
      </c>
      <c r="TK55" s="182">
        <v>1671</v>
      </c>
      <c r="TL55" s="182">
        <v>1671</v>
      </c>
      <c r="TM55" s="182">
        <v>1671</v>
      </c>
      <c r="TN55" s="182">
        <v>1671</v>
      </c>
      <c r="TO55" s="182">
        <v>1215</v>
      </c>
      <c r="TP55" s="182">
        <v>1224</v>
      </c>
      <c r="TQ55" s="182">
        <v>1224</v>
      </c>
      <c r="TR55" s="182">
        <v>1444</v>
      </c>
      <c r="TS55" s="182">
        <v>1444</v>
      </c>
      <c r="TT55" s="182">
        <v>10605</v>
      </c>
      <c r="TU55" s="182">
        <v>10605</v>
      </c>
      <c r="TV55" s="182">
        <v>10605</v>
      </c>
      <c r="TW55" s="182">
        <v>10605</v>
      </c>
      <c r="TX55" s="182">
        <v>1415</v>
      </c>
      <c r="TY55" s="182">
        <v>1415</v>
      </c>
      <c r="TZ55" s="182">
        <v>1415</v>
      </c>
      <c r="UA55" s="182">
        <v>1415</v>
      </c>
      <c r="UB55" s="182">
        <v>1748</v>
      </c>
      <c r="UC55" s="182">
        <v>1748</v>
      </c>
      <c r="UD55" s="182">
        <v>1748</v>
      </c>
      <c r="UE55" s="182">
        <v>1748</v>
      </c>
      <c r="UF55" s="182">
        <v>1748</v>
      </c>
      <c r="UG55" s="182">
        <v>335</v>
      </c>
      <c r="UH55" s="182">
        <v>335</v>
      </c>
      <c r="UI55" s="182">
        <v>3865</v>
      </c>
      <c r="UJ55" s="182">
        <v>3865</v>
      </c>
      <c r="UK55" s="182">
        <v>3865</v>
      </c>
      <c r="UL55" s="182">
        <v>1088</v>
      </c>
      <c r="UM55" s="182">
        <v>1088</v>
      </c>
      <c r="UN55" s="182">
        <v>1992</v>
      </c>
      <c r="UO55" s="182">
        <v>1992</v>
      </c>
      <c r="UP55" s="182">
        <v>1992</v>
      </c>
      <c r="UQ55" s="182">
        <v>246</v>
      </c>
      <c r="UR55" s="182">
        <v>246</v>
      </c>
      <c r="US55" s="182">
        <v>246</v>
      </c>
      <c r="UT55" s="182">
        <v>414</v>
      </c>
      <c r="UU55" s="182">
        <v>414</v>
      </c>
      <c r="UV55" s="182">
        <v>414</v>
      </c>
      <c r="UW55" s="182">
        <v>469</v>
      </c>
      <c r="UX55" s="182">
        <v>469</v>
      </c>
      <c r="UY55" s="182">
        <v>469</v>
      </c>
      <c r="UZ55" s="182">
        <v>469</v>
      </c>
      <c r="VA55" s="182">
        <v>469</v>
      </c>
      <c r="VB55" s="182">
        <v>469</v>
      </c>
      <c r="VC55" s="182">
        <v>469</v>
      </c>
      <c r="VD55" s="182">
        <v>469</v>
      </c>
      <c r="VE55" s="182">
        <v>6112</v>
      </c>
      <c r="VF55" s="182">
        <v>6112</v>
      </c>
      <c r="VG55" s="182">
        <v>6112</v>
      </c>
      <c r="VH55" s="182">
        <v>6112</v>
      </c>
      <c r="VI55" s="182">
        <v>6112</v>
      </c>
      <c r="VJ55" s="182">
        <v>6112</v>
      </c>
      <c r="VK55" s="182">
        <v>5763</v>
      </c>
      <c r="VL55" s="182">
        <v>6177</v>
      </c>
      <c r="VM55" s="182">
        <v>6177</v>
      </c>
      <c r="VN55" s="182">
        <v>5824</v>
      </c>
      <c r="VO55" s="182">
        <v>5824</v>
      </c>
      <c r="VP55" s="182">
        <v>5824</v>
      </c>
      <c r="VQ55" s="182">
        <v>6476</v>
      </c>
      <c r="VR55" s="182">
        <v>7223</v>
      </c>
      <c r="VS55" s="182">
        <v>7228</v>
      </c>
      <c r="VT55" s="182">
        <v>7512</v>
      </c>
      <c r="VU55" s="182">
        <v>7512</v>
      </c>
      <c r="VV55" s="182">
        <v>7512</v>
      </c>
      <c r="VW55" s="182">
        <v>7512</v>
      </c>
      <c r="VX55" s="182">
        <v>8028</v>
      </c>
      <c r="VY55" s="182">
        <v>8028</v>
      </c>
      <c r="VZ55" s="182">
        <v>8028</v>
      </c>
      <c r="WA55" s="182">
        <v>9088</v>
      </c>
      <c r="WB55" s="182">
        <v>9105</v>
      </c>
      <c r="WC55" s="182">
        <v>9105</v>
      </c>
      <c r="WD55" s="182">
        <v>9170</v>
      </c>
      <c r="WE55" s="182">
        <v>9170</v>
      </c>
      <c r="WF55" s="182">
        <v>8956</v>
      </c>
      <c r="WG55" s="182">
        <v>9341</v>
      </c>
      <c r="WH55" s="182">
        <v>9341</v>
      </c>
      <c r="WI55" s="182">
        <v>9341</v>
      </c>
      <c r="WJ55" s="182">
        <v>9341</v>
      </c>
      <c r="WK55" s="182">
        <v>9367</v>
      </c>
      <c r="WL55" s="182">
        <v>9464</v>
      </c>
      <c r="WM55" s="182">
        <v>10046</v>
      </c>
      <c r="WN55" s="182">
        <v>10046</v>
      </c>
      <c r="WO55" s="182">
        <v>10046</v>
      </c>
      <c r="ZL55" s="182" t="str">
        <f t="shared" si="1"/>
        <v>CARACAS -TURIN</v>
      </c>
      <c r="ZM55" s="183" t="s">
        <v>541</v>
      </c>
      <c r="ZN55" s="182" t="s">
        <v>543</v>
      </c>
      <c r="ZO55" s="182">
        <v>7959</v>
      </c>
      <c r="ZP55" s="198">
        <v>1830.5700000000002</v>
      </c>
      <c r="ZQ55" s="193"/>
      <c r="ZR55" s="193"/>
      <c r="ZS55" s="193"/>
      <c r="ZT55" s="193"/>
    </row>
    <row r="56" spans="1:696" s="192" customFormat="1" ht="28.8">
      <c r="A56" s="91"/>
      <c r="B56" s="91"/>
      <c r="C56" s="91"/>
      <c r="D56" s="735"/>
      <c r="E56" s="191" t="s">
        <v>341</v>
      </c>
      <c r="F56" s="184">
        <f t="shared" ref="F56:L56" si="23">F55*0.258</f>
        <v>261.61200000000002</v>
      </c>
      <c r="G56" s="184">
        <f t="shared" si="23"/>
        <v>261.61200000000002</v>
      </c>
      <c r="H56" s="184">
        <f t="shared" si="23"/>
        <v>261.61200000000002</v>
      </c>
      <c r="I56" s="184">
        <f t="shared" si="23"/>
        <v>261.61200000000002</v>
      </c>
      <c r="J56" s="184">
        <f t="shared" si="23"/>
        <v>261.61200000000002</v>
      </c>
      <c r="K56" s="184">
        <f t="shared" si="23"/>
        <v>311.66399999999999</v>
      </c>
      <c r="L56" s="184">
        <f t="shared" si="23"/>
        <v>311.66399999999999</v>
      </c>
      <c r="M56" s="184">
        <f>M55*0.209</f>
        <v>1563.9469999999999</v>
      </c>
      <c r="N56" s="184">
        <f>N55*0.209</f>
        <v>1563.9469999999999</v>
      </c>
      <c r="O56" s="184">
        <f>O55*0.209</f>
        <v>1563.9469999999999</v>
      </c>
      <c r="P56" s="184">
        <f>P55*0.223</f>
        <v>3132.0349999999999</v>
      </c>
      <c r="Q56" s="184">
        <f t="shared" ref="Q56:Z56" si="24">Q55*0.314</f>
        <v>259.36399999999998</v>
      </c>
      <c r="R56" s="184">
        <f t="shared" si="24"/>
        <v>259.36399999999998</v>
      </c>
      <c r="S56" s="184">
        <f t="shared" si="24"/>
        <v>259.36399999999998</v>
      </c>
      <c r="T56" s="184">
        <f t="shared" si="24"/>
        <v>259.36399999999998</v>
      </c>
      <c r="U56" s="184">
        <f t="shared" si="24"/>
        <v>287.62400000000002</v>
      </c>
      <c r="V56" s="184">
        <f t="shared" si="24"/>
        <v>287.62400000000002</v>
      </c>
      <c r="W56" s="184">
        <f t="shared" si="24"/>
        <v>287.62400000000002</v>
      </c>
      <c r="X56" s="184">
        <f t="shared" si="24"/>
        <v>177.72399999999999</v>
      </c>
      <c r="Y56" s="184">
        <f t="shared" si="24"/>
        <v>177.72399999999999</v>
      </c>
      <c r="Z56" s="184">
        <f t="shared" si="24"/>
        <v>171.75800000000001</v>
      </c>
      <c r="AA56" s="184">
        <f>AA55*0.258</f>
        <v>473.43</v>
      </c>
      <c r="AB56" s="184">
        <f>AB55*0.223</f>
        <v>2189.86</v>
      </c>
      <c r="AC56" s="184">
        <f>AC55*0.223</f>
        <v>2189.86</v>
      </c>
      <c r="AD56" s="184">
        <f>AD55*0.223</f>
        <v>2189.86</v>
      </c>
      <c r="AE56" s="184">
        <f>AE55*0.314</f>
        <v>112.098</v>
      </c>
      <c r="AF56" s="184">
        <f>AF55*0.314</f>
        <v>170.18799999999999</v>
      </c>
      <c r="AG56" s="184">
        <f>AG55*0.258</f>
        <v>473.43</v>
      </c>
      <c r="AH56" s="184">
        <f>AH55*0.209</f>
        <v>496.79300000000001</v>
      </c>
      <c r="AI56" s="184">
        <f t="shared" ref="AI56:AP56" si="25">AI55*0.223</f>
        <v>2072.3389999999999</v>
      </c>
      <c r="AJ56" s="184">
        <f t="shared" si="25"/>
        <v>1301.4280000000001</v>
      </c>
      <c r="AK56" s="184">
        <f t="shared" si="25"/>
        <v>1301.4280000000001</v>
      </c>
      <c r="AL56" s="184">
        <f t="shared" si="25"/>
        <v>1301.4280000000001</v>
      </c>
      <c r="AM56" s="184">
        <f t="shared" si="25"/>
        <v>1301.4280000000001</v>
      </c>
      <c r="AN56" s="184">
        <f t="shared" si="25"/>
        <v>1301.4280000000001</v>
      </c>
      <c r="AO56" s="184">
        <f t="shared" si="25"/>
        <v>1301.4280000000001</v>
      </c>
      <c r="AP56" s="184">
        <f t="shared" si="25"/>
        <v>1301.4280000000001</v>
      </c>
      <c r="AQ56" s="184">
        <f>AQ55*0.314</f>
        <v>135.96199999999999</v>
      </c>
      <c r="AR56" s="184">
        <f>AR55*0.314</f>
        <v>135.96199999999999</v>
      </c>
      <c r="AS56" s="184">
        <f>AS55*0.223</f>
        <v>2542.8690000000001</v>
      </c>
      <c r="AT56" s="184">
        <f>AT55*0.223</f>
        <v>2542.8690000000001</v>
      </c>
      <c r="AU56" s="184">
        <f>AU55*0.314</f>
        <v>176.78200000000001</v>
      </c>
      <c r="AV56" s="184">
        <f>AV55*0.314</f>
        <v>286.36799999999999</v>
      </c>
      <c r="AW56" s="184">
        <f>AW55*0.314</f>
        <v>286.36799999999999</v>
      </c>
      <c r="AX56" s="184">
        <f>AX55*0.258</f>
        <v>314.24400000000003</v>
      </c>
      <c r="AY56" s="184">
        <f>AY55*0.258</f>
        <v>319.92</v>
      </c>
      <c r="AZ56" s="184">
        <f>AZ55*0.258</f>
        <v>319.92</v>
      </c>
      <c r="BA56" s="184">
        <f t="shared" ref="BA56:BK56" si="26">BA55*0.23</f>
        <v>1890.14</v>
      </c>
      <c r="BB56" s="184">
        <f t="shared" si="26"/>
        <v>1903.02</v>
      </c>
      <c r="BC56" s="184">
        <f t="shared" si="26"/>
        <v>1912.45</v>
      </c>
      <c r="BD56" s="184">
        <f t="shared" si="26"/>
        <v>1912.45</v>
      </c>
      <c r="BE56" s="184">
        <f t="shared" si="26"/>
        <v>1912.45</v>
      </c>
      <c r="BF56" s="184">
        <f t="shared" si="26"/>
        <v>1912.45</v>
      </c>
      <c r="BG56" s="184">
        <f t="shared" si="26"/>
        <v>1912.45</v>
      </c>
      <c r="BH56" s="184">
        <f t="shared" si="26"/>
        <v>1922.1100000000001</v>
      </c>
      <c r="BI56" s="184">
        <f t="shared" si="26"/>
        <v>1922.1100000000001</v>
      </c>
      <c r="BJ56" s="184">
        <f t="shared" si="26"/>
        <v>1961.9</v>
      </c>
      <c r="BK56" s="184">
        <f t="shared" si="26"/>
        <v>1961.9</v>
      </c>
      <c r="BL56" s="184">
        <f t="shared" ref="BL56:BW56" si="27">BL55*0.223</f>
        <v>2032.1990000000001</v>
      </c>
      <c r="BM56" s="184">
        <f t="shared" si="27"/>
        <v>2066.0950000000003</v>
      </c>
      <c r="BN56" s="184">
        <f t="shared" si="27"/>
        <v>2084.1579999999999</v>
      </c>
      <c r="BO56" s="184">
        <f t="shared" si="27"/>
        <v>2084.1579999999999</v>
      </c>
      <c r="BP56" s="184">
        <f t="shared" si="27"/>
        <v>2084.1579999999999</v>
      </c>
      <c r="BQ56" s="184">
        <f t="shared" si="27"/>
        <v>2084.1579999999999</v>
      </c>
      <c r="BR56" s="184">
        <f t="shared" si="27"/>
        <v>2084.1579999999999</v>
      </c>
      <c r="BS56" s="184">
        <f t="shared" si="27"/>
        <v>2084.1579999999999</v>
      </c>
      <c r="BT56" s="184">
        <f t="shared" si="27"/>
        <v>2084.1579999999999</v>
      </c>
      <c r="BU56" s="184">
        <f t="shared" si="27"/>
        <v>2084.1579999999999</v>
      </c>
      <c r="BV56" s="184">
        <f t="shared" si="27"/>
        <v>2084.1579999999999</v>
      </c>
      <c r="BW56" s="184">
        <f t="shared" si="27"/>
        <v>2084.1579999999999</v>
      </c>
      <c r="BX56" s="184">
        <f>BX55*0.209</f>
        <v>547.57999999999993</v>
      </c>
      <c r="BY56" s="184">
        <f>BY55*0.209</f>
        <v>547.57999999999993</v>
      </c>
      <c r="BZ56" s="184">
        <f>BZ55*0.209</f>
        <v>547.57999999999993</v>
      </c>
      <c r="CA56" s="184">
        <f>CA55*0.223</f>
        <v>2079.6979999999999</v>
      </c>
      <c r="CB56" s="184">
        <f>CB55*0.223</f>
        <v>2086.165</v>
      </c>
      <c r="CC56" s="184">
        <f>CC55*0.223</f>
        <v>2086.165</v>
      </c>
      <c r="CD56" s="184">
        <f>CD55*0.314</f>
        <v>297.358</v>
      </c>
      <c r="CE56" s="184">
        <f>CE55*0.314</f>
        <v>297.358</v>
      </c>
      <c r="CF56" s="184">
        <f>CF55*0.314</f>
        <v>297.358</v>
      </c>
      <c r="CG56" s="184">
        <f>CG55*0.258</f>
        <v>308.05200000000002</v>
      </c>
      <c r="CH56" s="184">
        <f t="shared" ref="CH56:CX56" si="28">CH55*0.314</f>
        <v>145.38200000000001</v>
      </c>
      <c r="CI56" s="184">
        <f t="shared" si="28"/>
        <v>180.55</v>
      </c>
      <c r="CJ56" s="184">
        <f t="shared" si="28"/>
        <v>180.55</v>
      </c>
      <c r="CK56" s="184">
        <f t="shared" si="28"/>
        <v>180.55</v>
      </c>
      <c r="CL56" s="184">
        <f t="shared" si="28"/>
        <v>180.55</v>
      </c>
      <c r="CM56" s="184">
        <f t="shared" si="28"/>
        <v>180.55</v>
      </c>
      <c r="CN56" s="184">
        <f t="shared" si="28"/>
        <v>180.55</v>
      </c>
      <c r="CO56" s="184">
        <f t="shared" si="28"/>
        <v>180.55</v>
      </c>
      <c r="CP56" s="184">
        <f t="shared" si="28"/>
        <v>180.55</v>
      </c>
      <c r="CQ56" s="184">
        <f t="shared" si="28"/>
        <v>180.55</v>
      </c>
      <c r="CR56" s="184">
        <f t="shared" si="28"/>
        <v>180.55</v>
      </c>
      <c r="CS56" s="184">
        <f t="shared" si="28"/>
        <v>180.55</v>
      </c>
      <c r="CT56" s="184">
        <f t="shared" si="28"/>
        <v>180.55</v>
      </c>
      <c r="CU56" s="184">
        <f t="shared" si="28"/>
        <v>198.13400000000001</v>
      </c>
      <c r="CV56" s="184">
        <f t="shared" si="28"/>
        <v>198.13400000000001</v>
      </c>
      <c r="CW56" s="184">
        <f t="shared" si="28"/>
        <v>198.13400000000001</v>
      </c>
      <c r="CX56" s="184">
        <f t="shared" si="28"/>
        <v>209.75200000000001</v>
      </c>
      <c r="CY56" s="184">
        <f>CY55*0.258</f>
        <v>262.90199999999999</v>
      </c>
      <c r="CZ56" s="184">
        <f>CZ55*0.314</f>
        <v>276.63400000000001</v>
      </c>
      <c r="DA56" s="184">
        <f>DA55*0.314</f>
        <v>296.73</v>
      </c>
      <c r="DB56" s="184">
        <f>DB55*0.314</f>
        <v>296.73</v>
      </c>
      <c r="DC56" s="184">
        <f>DC55*0.314</f>
        <v>306.464</v>
      </c>
      <c r="DD56" s="184">
        <f t="shared" ref="DD56:DI56" si="29">DD55*0.223</f>
        <v>1116.5609999999999</v>
      </c>
      <c r="DE56" s="184">
        <f t="shared" si="29"/>
        <v>2121.6219999999998</v>
      </c>
      <c r="DF56" s="184">
        <f t="shared" si="29"/>
        <v>2121.6219999999998</v>
      </c>
      <c r="DG56" s="184">
        <f t="shared" si="29"/>
        <v>2121.6219999999998</v>
      </c>
      <c r="DH56" s="184">
        <f t="shared" si="29"/>
        <v>2121.6219999999998</v>
      </c>
      <c r="DI56" s="184">
        <f t="shared" si="29"/>
        <v>2121.6219999999998</v>
      </c>
      <c r="DJ56" s="184">
        <f t="shared" ref="DJ56:EA56" si="30">DJ55*0.314</f>
        <v>146.63800000000001</v>
      </c>
      <c r="DK56" s="184">
        <f t="shared" si="30"/>
        <v>146.63800000000001</v>
      </c>
      <c r="DL56" s="184">
        <f t="shared" si="30"/>
        <v>158.256</v>
      </c>
      <c r="DM56" s="184">
        <f t="shared" si="30"/>
        <v>166.73400000000001</v>
      </c>
      <c r="DN56" s="184">
        <f t="shared" si="30"/>
        <v>166.73400000000001</v>
      </c>
      <c r="DO56" s="184">
        <f t="shared" si="30"/>
        <v>166.73400000000001</v>
      </c>
      <c r="DP56" s="184">
        <f t="shared" si="30"/>
        <v>166.73400000000001</v>
      </c>
      <c r="DQ56" s="184">
        <f t="shared" si="30"/>
        <v>166.73400000000001</v>
      </c>
      <c r="DR56" s="184">
        <f t="shared" si="30"/>
        <v>166.73400000000001</v>
      </c>
      <c r="DS56" s="184">
        <f t="shared" si="30"/>
        <v>166.73400000000001</v>
      </c>
      <c r="DT56" s="184">
        <f t="shared" si="30"/>
        <v>166.73400000000001</v>
      </c>
      <c r="DU56" s="184">
        <f t="shared" si="30"/>
        <v>166.73400000000001</v>
      </c>
      <c r="DV56" s="184">
        <f t="shared" si="30"/>
        <v>166.73400000000001</v>
      </c>
      <c r="DW56" s="184">
        <f t="shared" si="30"/>
        <v>213.834</v>
      </c>
      <c r="DX56" s="184">
        <f t="shared" si="30"/>
        <v>213.834</v>
      </c>
      <c r="DY56" s="184">
        <f t="shared" si="30"/>
        <v>213.834</v>
      </c>
      <c r="DZ56" s="184">
        <f t="shared" si="30"/>
        <v>260.62</v>
      </c>
      <c r="EA56" s="184">
        <f t="shared" si="30"/>
        <v>260.62</v>
      </c>
      <c r="EB56" s="184">
        <f>EB55*0.258</f>
        <v>284.31600000000003</v>
      </c>
      <c r="EC56" s="184">
        <f t="shared" ref="EC56:EK56" si="31">EC55*0.314</f>
        <v>286.36799999999999</v>
      </c>
      <c r="ED56" s="184">
        <f t="shared" si="31"/>
        <v>286.36799999999999</v>
      </c>
      <c r="EE56" s="184">
        <f t="shared" si="31"/>
        <v>286.36799999999999</v>
      </c>
      <c r="EF56" s="184">
        <f t="shared" si="31"/>
        <v>286.36799999999999</v>
      </c>
      <c r="EG56" s="184">
        <f t="shared" si="31"/>
        <v>286.36799999999999</v>
      </c>
      <c r="EH56" s="184">
        <f t="shared" si="31"/>
        <v>286.36799999999999</v>
      </c>
      <c r="EI56" s="184">
        <f t="shared" si="31"/>
        <v>286.36799999999999</v>
      </c>
      <c r="EJ56" s="184">
        <f t="shared" si="31"/>
        <v>286.36799999999999</v>
      </c>
      <c r="EK56" s="184">
        <f t="shared" si="31"/>
        <v>286.36799999999999</v>
      </c>
      <c r="EL56" s="184">
        <f>EL55*0.258</f>
        <v>333.33600000000001</v>
      </c>
      <c r="EM56" s="184">
        <f>EM55*0.258</f>
        <v>333.33600000000001</v>
      </c>
      <c r="EN56" s="184">
        <f>EN55*0.209</f>
        <v>1511.279</v>
      </c>
      <c r="EO56" s="184">
        <f>EO55*0.209</f>
        <v>1511.279</v>
      </c>
      <c r="EP56" s="184"/>
      <c r="EQ56" s="184">
        <f>EQ55*0.209</f>
        <v>510.16899999999998</v>
      </c>
      <c r="ER56" s="184">
        <f>ER55*0.209</f>
        <v>1392.9849999999999</v>
      </c>
      <c r="ES56" s="184">
        <f t="shared" ref="ES56:FX56" si="32">ES55*0.314</f>
        <v>86.977999999999994</v>
      </c>
      <c r="ET56" s="184">
        <f t="shared" si="32"/>
        <v>93.572000000000003</v>
      </c>
      <c r="EU56" s="184">
        <f t="shared" si="32"/>
        <v>93.572000000000003</v>
      </c>
      <c r="EV56" s="184">
        <f t="shared" si="32"/>
        <v>93.572000000000003</v>
      </c>
      <c r="EW56" s="184">
        <f t="shared" si="32"/>
        <v>93.572000000000003</v>
      </c>
      <c r="EX56" s="184">
        <f t="shared" si="32"/>
        <v>93.885999999999996</v>
      </c>
      <c r="EY56" s="184">
        <f t="shared" si="32"/>
        <v>93.885999999999996</v>
      </c>
      <c r="EZ56" s="184">
        <f t="shared" si="32"/>
        <v>93.885999999999996</v>
      </c>
      <c r="FA56" s="184">
        <f t="shared" si="32"/>
        <v>93.885999999999996</v>
      </c>
      <c r="FB56" s="184">
        <f t="shared" si="32"/>
        <v>105.504</v>
      </c>
      <c r="FC56" s="184">
        <f t="shared" si="32"/>
        <v>112.098</v>
      </c>
      <c r="FD56" s="184">
        <f t="shared" si="32"/>
        <v>112.41200000000001</v>
      </c>
      <c r="FE56" s="184">
        <f t="shared" si="32"/>
        <v>112.41200000000001</v>
      </c>
      <c r="FF56" s="184">
        <f t="shared" si="32"/>
        <v>112.726</v>
      </c>
      <c r="FG56" s="184">
        <f t="shared" si="32"/>
        <v>112.726</v>
      </c>
      <c r="FH56" s="184">
        <f t="shared" si="32"/>
        <v>112.726</v>
      </c>
      <c r="FI56" s="184">
        <f t="shared" si="32"/>
        <v>112.726</v>
      </c>
      <c r="FJ56" s="184">
        <f t="shared" si="32"/>
        <v>112.726</v>
      </c>
      <c r="FK56" s="184">
        <f t="shared" si="32"/>
        <v>112.726</v>
      </c>
      <c r="FL56" s="184">
        <f t="shared" si="32"/>
        <v>112.726</v>
      </c>
      <c r="FM56" s="184">
        <f t="shared" si="32"/>
        <v>112.726</v>
      </c>
      <c r="FN56" s="184">
        <f t="shared" si="32"/>
        <v>112.726</v>
      </c>
      <c r="FO56" s="184">
        <f t="shared" si="32"/>
        <v>112.726</v>
      </c>
      <c r="FP56" s="184">
        <f t="shared" si="32"/>
        <v>112.726</v>
      </c>
      <c r="FQ56" s="184">
        <f t="shared" si="32"/>
        <v>112.726</v>
      </c>
      <c r="FR56" s="184">
        <f t="shared" si="32"/>
        <v>112.726</v>
      </c>
      <c r="FS56" s="184">
        <f t="shared" si="32"/>
        <v>112.726</v>
      </c>
      <c r="FT56" s="184">
        <f t="shared" si="32"/>
        <v>112.726</v>
      </c>
      <c r="FU56" s="184">
        <f t="shared" si="32"/>
        <v>112.726</v>
      </c>
      <c r="FV56" s="184">
        <f t="shared" si="32"/>
        <v>112.726</v>
      </c>
      <c r="FW56" s="184">
        <f t="shared" si="32"/>
        <v>112.726</v>
      </c>
      <c r="FX56" s="184">
        <f t="shared" si="32"/>
        <v>112.726</v>
      </c>
      <c r="FY56" s="184">
        <f t="shared" ref="FY56:HD56" si="33">FY55*0.314</f>
        <v>112.726</v>
      </c>
      <c r="FZ56" s="184">
        <f t="shared" si="33"/>
        <v>112.726</v>
      </c>
      <c r="GA56" s="184">
        <f t="shared" si="33"/>
        <v>112.726</v>
      </c>
      <c r="GB56" s="184">
        <f t="shared" si="33"/>
        <v>112.726</v>
      </c>
      <c r="GC56" s="184">
        <f t="shared" si="33"/>
        <v>112.726</v>
      </c>
      <c r="GD56" s="184">
        <f t="shared" si="33"/>
        <v>112.726</v>
      </c>
      <c r="GE56" s="184">
        <f t="shared" si="33"/>
        <v>112.726</v>
      </c>
      <c r="GF56" s="184">
        <f t="shared" si="33"/>
        <v>112.726</v>
      </c>
      <c r="GG56" s="184">
        <f t="shared" si="33"/>
        <v>112.726</v>
      </c>
      <c r="GH56" s="184">
        <f t="shared" si="33"/>
        <v>112.726</v>
      </c>
      <c r="GI56" s="184">
        <f t="shared" si="33"/>
        <v>112.726</v>
      </c>
      <c r="GJ56" s="184">
        <f t="shared" si="33"/>
        <v>112.726</v>
      </c>
      <c r="GK56" s="184">
        <f t="shared" si="33"/>
        <v>112.726</v>
      </c>
      <c r="GL56" s="184">
        <f t="shared" si="33"/>
        <v>112.726</v>
      </c>
      <c r="GM56" s="184">
        <f t="shared" si="33"/>
        <v>112.726</v>
      </c>
      <c r="GN56" s="184">
        <f t="shared" si="33"/>
        <v>112.726</v>
      </c>
      <c r="GO56" s="184">
        <f t="shared" si="33"/>
        <v>112.726</v>
      </c>
      <c r="GP56" s="184">
        <f t="shared" si="33"/>
        <v>112.726</v>
      </c>
      <c r="GQ56" s="184">
        <f t="shared" si="33"/>
        <v>112.726</v>
      </c>
      <c r="GR56" s="184">
        <f t="shared" si="33"/>
        <v>112.726</v>
      </c>
      <c r="GS56" s="184">
        <f t="shared" si="33"/>
        <v>112.726</v>
      </c>
      <c r="GT56" s="184">
        <f t="shared" si="33"/>
        <v>112.726</v>
      </c>
      <c r="GU56" s="184">
        <f t="shared" si="33"/>
        <v>112.726</v>
      </c>
      <c r="GV56" s="184">
        <f t="shared" si="33"/>
        <v>112.726</v>
      </c>
      <c r="GW56" s="184">
        <f t="shared" si="33"/>
        <v>112.726</v>
      </c>
      <c r="GX56" s="184">
        <f t="shared" si="33"/>
        <v>120.57599999999999</v>
      </c>
      <c r="GY56" s="184">
        <f t="shared" si="33"/>
        <v>120.57599999999999</v>
      </c>
      <c r="GZ56" s="184">
        <f t="shared" si="33"/>
        <v>120.57599999999999</v>
      </c>
      <c r="HA56" s="184">
        <f t="shared" si="33"/>
        <v>120.57599999999999</v>
      </c>
      <c r="HB56" s="184">
        <f t="shared" si="33"/>
        <v>123.08799999999999</v>
      </c>
      <c r="HC56" s="184">
        <f t="shared" si="33"/>
        <v>123.08799999999999</v>
      </c>
      <c r="HD56" s="184">
        <f t="shared" si="33"/>
        <v>123.08799999999999</v>
      </c>
      <c r="HE56" s="184">
        <f t="shared" ref="HE56:IJ56" si="34">HE55*0.314</f>
        <v>123.08799999999999</v>
      </c>
      <c r="HF56" s="184">
        <f t="shared" si="34"/>
        <v>123.08799999999999</v>
      </c>
      <c r="HG56" s="184">
        <f t="shared" si="34"/>
        <v>123.08799999999999</v>
      </c>
      <c r="HH56" s="184">
        <f t="shared" si="34"/>
        <v>136.59</v>
      </c>
      <c r="HI56" s="184">
        <f t="shared" si="34"/>
        <v>136.59</v>
      </c>
      <c r="HJ56" s="184">
        <f t="shared" si="34"/>
        <v>136.59</v>
      </c>
      <c r="HK56" s="184">
        <f t="shared" si="34"/>
        <v>136.59</v>
      </c>
      <c r="HL56" s="184">
        <f t="shared" si="34"/>
        <v>136.59</v>
      </c>
      <c r="HM56" s="184">
        <f t="shared" si="34"/>
        <v>136.59</v>
      </c>
      <c r="HN56" s="184">
        <f t="shared" si="34"/>
        <v>136.59</v>
      </c>
      <c r="HO56" s="184">
        <f t="shared" si="34"/>
        <v>161.71</v>
      </c>
      <c r="HP56" s="184">
        <f t="shared" si="34"/>
        <v>161.71</v>
      </c>
      <c r="HQ56" s="184">
        <f t="shared" si="34"/>
        <v>161.71</v>
      </c>
      <c r="HR56" s="184">
        <f t="shared" si="34"/>
        <v>161.71</v>
      </c>
      <c r="HS56" s="184">
        <f t="shared" si="34"/>
        <v>161.71</v>
      </c>
      <c r="HT56" s="184">
        <f t="shared" si="34"/>
        <v>161.71</v>
      </c>
      <c r="HU56" s="184">
        <f t="shared" si="34"/>
        <v>161.71</v>
      </c>
      <c r="HV56" s="184">
        <f t="shared" si="34"/>
        <v>161.71</v>
      </c>
      <c r="HW56" s="184">
        <f t="shared" si="34"/>
        <v>161.71</v>
      </c>
      <c r="HX56" s="184">
        <f t="shared" si="34"/>
        <v>161.71</v>
      </c>
      <c r="HY56" s="184">
        <f t="shared" si="34"/>
        <v>161.71</v>
      </c>
      <c r="HZ56" s="184">
        <f t="shared" si="34"/>
        <v>161.71</v>
      </c>
      <c r="IA56" s="184">
        <f t="shared" si="34"/>
        <v>161.71</v>
      </c>
      <c r="IB56" s="184">
        <f t="shared" si="34"/>
        <v>161.71</v>
      </c>
      <c r="IC56" s="184">
        <f t="shared" si="34"/>
        <v>166.73400000000001</v>
      </c>
      <c r="ID56" s="184">
        <f t="shared" si="34"/>
        <v>166.73400000000001</v>
      </c>
      <c r="IE56" s="184">
        <f t="shared" si="34"/>
        <v>166.73400000000001</v>
      </c>
      <c r="IF56" s="184">
        <f t="shared" si="34"/>
        <v>166.73400000000001</v>
      </c>
      <c r="IG56" s="184">
        <f t="shared" si="34"/>
        <v>166.73400000000001</v>
      </c>
      <c r="IH56" s="184">
        <f t="shared" si="34"/>
        <v>166.73400000000001</v>
      </c>
      <c r="II56" s="184">
        <f t="shared" si="34"/>
        <v>166.73400000000001</v>
      </c>
      <c r="IJ56" s="184">
        <f t="shared" si="34"/>
        <v>171.13</v>
      </c>
      <c r="IK56" s="184">
        <f t="shared" ref="IK56:JP56" si="35">IK55*0.314</f>
        <v>172.7</v>
      </c>
      <c r="IL56" s="184">
        <f t="shared" si="35"/>
        <v>172.7</v>
      </c>
      <c r="IM56" s="184">
        <f t="shared" si="35"/>
        <v>174.898</v>
      </c>
      <c r="IN56" s="184">
        <f t="shared" si="35"/>
        <v>174.898</v>
      </c>
      <c r="IO56" s="184">
        <f t="shared" si="35"/>
        <v>175.52600000000001</v>
      </c>
      <c r="IP56" s="184">
        <f t="shared" si="35"/>
        <v>175.52600000000001</v>
      </c>
      <c r="IQ56" s="184">
        <f t="shared" si="35"/>
        <v>175.52600000000001</v>
      </c>
      <c r="IR56" s="184">
        <f t="shared" si="35"/>
        <v>175.52600000000001</v>
      </c>
      <c r="IS56" s="184">
        <f t="shared" si="35"/>
        <v>175.52600000000001</v>
      </c>
      <c r="IT56" s="184">
        <f t="shared" si="35"/>
        <v>175.84</v>
      </c>
      <c r="IU56" s="184">
        <f t="shared" si="35"/>
        <v>175.84</v>
      </c>
      <c r="IV56" s="184">
        <f t="shared" si="35"/>
        <v>176.46799999999999</v>
      </c>
      <c r="IW56" s="184">
        <f t="shared" si="35"/>
        <v>176.46799999999999</v>
      </c>
      <c r="IX56" s="184">
        <f t="shared" si="35"/>
        <v>177.41</v>
      </c>
      <c r="IY56" s="184">
        <f t="shared" si="35"/>
        <v>177.41</v>
      </c>
      <c r="IZ56" s="184">
        <f t="shared" si="35"/>
        <v>177.41</v>
      </c>
      <c r="JA56" s="184">
        <f t="shared" si="35"/>
        <v>177.41</v>
      </c>
      <c r="JB56" s="184">
        <f t="shared" si="35"/>
        <v>177.41</v>
      </c>
      <c r="JC56" s="184">
        <f t="shared" si="35"/>
        <v>192.16800000000001</v>
      </c>
      <c r="JD56" s="184">
        <f t="shared" si="35"/>
        <v>215.404</v>
      </c>
      <c r="JE56" s="184">
        <f t="shared" si="35"/>
        <v>215.404</v>
      </c>
      <c r="JF56" s="184">
        <f t="shared" si="35"/>
        <v>215.404</v>
      </c>
      <c r="JG56" s="184">
        <f t="shared" si="35"/>
        <v>219.8</v>
      </c>
      <c r="JH56" s="184">
        <f t="shared" si="35"/>
        <v>235.5</v>
      </c>
      <c r="JI56" s="184">
        <f t="shared" si="35"/>
        <v>235.5</v>
      </c>
      <c r="JJ56" s="184">
        <f t="shared" si="35"/>
        <v>235.5</v>
      </c>
      <c r="JK56" s="184">
        <f t="shared" si="35"/>
        <v>235.5</v>
      </c>
      <c r="JL56" s="184">
        <f t="shared" si="35"/>
        <v>235.5</v>
      </c>
      <c r="JM56" s="184">
        <f t="shared" si="35"/>
        <v>239.58199999999999</v>
      </c>
      <c r="JN56" s="184">
        <f t="shared" si="35"/>
        <v>239.58199999999999</v>
      </c>
      <c r="JO56" s="184">
        <f t="shared" si="35"/>
        <v>239.58199999999999</v>
      </c>
      <c r="JP56" s="184">
        <f t="shared" si="35"/>
        <v>248.374</v>
      </c>
      <c r="JQ56" s="184">
        <f t="shared" ref="JQ56:JV56" si="36">JQ55*0.314</f>
        <v>248.374</v>
      </c>
      <c r="JR56" s="184">
        <f t="shared" si="36"/>
        <v>248.374</v>
      </c>
      <c r="JS56" s="184">
        <f t="shared" si="36"/>
        <v>256.53800000000001</v>
      </c>
      <c r="JT56" s="184">
        <f t="shared" si="36"/>
        <v>260.62</v>
      </c>
      <c r="JU56" s="184">
        <f t="shared" si="36"/>
        <v>270.04000000000002</v>
      </c>
      <c r="JV56" s="184">
        <f t="shared" si="36"/>
        <v>280.40199999999999</v>
      </c>
      <c r="JW56" s="184">
        <f>JW55*0.258</f>
        <v>283.8</v>
      </c>
      <c r="JX56" s="184">
        <f>JX55*0.258</f>
        <v>283.8</v>
      </c>
      <c r="JY56" s="184">
        <f>JY55*0.258</f>
        <v>283.8</v>
      </c>
      <c r="JZ56" s="184">
        <f t="shared" ref="JZ56:KF56" si="37">JZ55*0.314</f>
        <v>286.36799999999999</v>
      </c>
      <c r="KA56" s="184">
        <f t="shared" si="37"/>
        <v>286.36799999999999</v>
      </c>
      <c r="KB56" s="184">
        <f t="shared" si="37"/>
        <v>286.36799999999999</v>
      </c>
      <c r="KC56" s="184">
        <f t="shared" si="37"/>
        <v>286.36799999999999</v>
      </c>
      <c r="KD56" s="184">
        <f t="shared" si="37"/>
        <v>287.62400000000002</v>
      </c>
      <c r="KE56" s="184">
        <f t="shared" si="37"/>
        <v>287.62400000000002</v>
      </c>
      <c r="KF56" s="184">
        <f t="shared" si="37"/>
        <v>287.62400000000002</v>
      </c>
      <c r="KG56" s="184">
        <f t="shared" ref="KG56:KL56" si="38">KG55*0.258</f>
        <v>299.02199999999999</v>
      </c>
      <c r="KH56" s="184">
        <f t="shared" si="38"/>
        <v>299.02199999999999</v>
      </c>
      <c r="KI56" s="184">
        <f t="shared" si="38"/>
        <v>299.02199999999999</v>
      </c>
      <c r="KJ56" s="184">
        <f t="shared" si="38"/>
        <v>299.02199999999999</v>
      </c>
      <c r="KK56" s="184">
        <f t="shared" si="38"/>
        <v>299.02199999999999</v>
      </c>
      <c r="KL56" s="184">
        <f t="shared" si="38"/>
        <v>299.02199999999999</v>
      </c>
      <c r="KM56" s="184">
        <f t="shared" ref="KM56:KY56" si="39">KM55*0.314</f>
        <v>306.464</v>
      </c>
      <c r="KN56" s="184">
        <f t="shared" si="39"/>
        <v>306.464</v>
      </c>
      <c r="KO56" s="184">
        <f t="shared" si="39"/>
        <v>306.464</v>
      </c>
      <c r="KP56" s="184">
        <f t="shared" si="39"/>
        <v>306.464</v>
      </c>
      <c r="KQ56" s="184">
        <f t="shared" si="39"/>
        <v>306.464</v>
      </c>
      <c r="KR56" s="184">
        <f t="shared" si="39"/>
        <v>306.464</v>
      </c>
      <c r="KS56" s="184">
        <f t="shared" si="39"/>
        <v>306.464</v>
      </c>
      <c r="KT56" s="184">
        <f t="shared" si="39"/>
        <v>306.464</v>
      </c>
      <c r="KU56" s="184">
        <f t="shared" si="39"/>
        <v>306.464</v>
      </c>
      <c r="KV56" s="184">
        <f t="shared" si="39"/>
        <v>306.464</v>
      </c>
      <c r="KW56" s="184">
        <f t="shared" si="39"/>
        <v>306.464</v>
      </c>
      <c r="KX56" s="184">
        <f t="shared" si="39"/>
        <v>306.464</v>
      </c>
      <c r="KY56" s="184">
        <f t="shared" si="39"/>
        <v>306.464</v>
      </c>
      <c r="KZ56" s="184">
        <f t="shared" ref="KZ56:LQ56" si="40">KZ55*0.258</f>
        <v>308.05200000000002</v>
      </c>
      <c r="LA56" s="184">
        <f t="shared" si="40"/>
        <v>308.05200000000002</v>
      </c>
      <c r="LB56" s="184">
        <f t="shared" si="40"/>
        <v>308.05200000000002</v>
      </c>
      <c r="LC56" s="184">
        <f t="shared" si="40"/>
        <v>314.76</v>
      </c>
      <c r="LD56" s="184">
        <f t="shared" si="40"/>
        <v>314.76</v>
      </c>
      <c r="LE56" s="184">
        <f t="shared" si="40"/>
        <v>315.79200000000003</v>
      </c>
      <c r="LF56" s="184">
        <f t="shared" si="40"/>
        <v>351.39600000000002</v>
      </c>
      <c r="LG56" s="184">
        <f t="shared" si="40"/>
        <v>351.39600000000002</v>
      </c>
      <c r="LH56" s="184">
        <f t="shared" si="40"/>
        <v>351.39600000000002</v>
      </c>
      <c r="LI56" s="184">
        <f t="shared" si="40"/>
        <v>352.428</v>
      </c>
      <c r="LJ56" s="184">
        <f t="shared" si="40"/>
        <v>352.428</v>
      </c>
      <c r="LK56" s="184">
        <f t="shared" si="40"/>
        <v>355.524</v>
      </c>
      <c r="LL56" s="184">
        <f t="shared" si="40"/>
        <v>358.10399999999998</v>
      </c>
      <c r="LM56" s="184">
        <f t="shared" si="40"/>
        <v>365.07</v>
      </c>
      <c r="LN56" s="184">
        <f t="shared" si="40"/>
        <v>365.07</v>
      </c>
      <c r="LO56" s="184">
        <f t="shared" si="40"/>
        <v>402.48</v>
      </c>
      <c r="LP56" s="184">
        <f t="shared" si="40"/>
        <v>446.59800000000001</v>
      </c>
      <c r="LQ56" s="184">
        <f t="shared" si="40"/>
        <v>446.59800000000001</v>
      </c>
      <c r="LR56" s="184">
        <f>LR55*0.209</f>
        <v>461.05399999999997</v>
      </c>
      <c r="LS56" s="184">
        <f>LS55*0.258</f>
        <v>468.27000000000004</v>
      </c>
      <c r="LT56" s="184">
        <f>LT55*0.258</f>
        <v>468.27000000000004</v>
      </c>
      <c r="LU56" s="184">
        <f>LU55*0.258</f>
        <v>485.04</v>
      </c>
      <c r="LV56" s="184">
        <f>LV55*0.209</f>
        <v>485.92499999999995</v>
      </c>
      <c r="LW56" s="184">
        <f>LW55*0.209</f>
        <v>485.92499999999995</v>
      </c>
      <c r="LX56" s="184">
        <f>LX55*0.258</f>
        <v>513.93600000000004</v>
      </c>
      <c r="LY56" s="184">
        <f>LY55*0.258</f>
        <v>513.93600000000004</v>
      </c>
      <c r="LZ56" s="184">
        <f>LZ55*0.23</f>
        <v>865.26</v>
      </c>
      <c r="MA56" s="184">
        <f>MA55*0.23</f>
        <v>865.26</v>
      </c>
      <c r="MB56" s="184">
        <f>MB55*0.23</f>
        <v>888.95</v>
      </c>
      <c r="MC56" s="184">
        <f>MC55*0.23</f>
        <v>888.95</v>
      </c>
      <c r="MD56" s="184">
        <f>MD55*0.23</f>
        <v>888.95</v>
      </c>
      <c r="ME56" s="184">
        <f>ME55*0.223</f>
        <v>1301.4280000000001</v>
      </c>
      <c r="MF56" s="184">
        <f>MF55*0.307</f>
        <v>1350.1859999999999</v>
      </c>
      <c r="MG56" s="184">
        <f>MG55*0.307</f>
        <v>1531.623</v>
      </c>
      <c r="MH56" s="184">
        <f t="shared" ref="MH56:MN56" si="41">MH55*0.23</f>
        <v>1873.1200000000001</v>
      </c>
      <c r="MI56" s="184">
        <f t="shared" si="41"/>
        <v>1873.1200000000001</v>
      </c>
      <c r="MJ56" s="184">
        <f t="shared" si="41"/>
        <v>1890.14</v>
      </c>
      <c r="MK56" s="184">
        <f t="shared" si="41"/>
        <v>1903.02</v>
      </c>
      <c r="ML56" s="184">
        <f t="shared" si="41"/>
        <v>1912.45</v>
      </c>
      <c r="MM56" s="184">
        <f t="shared" si="41"/>
        <v>1912.45</v>
      </c>
      <c r="MN56" s="184">
        <f t="shared" si="41"/>
        <v>1922.1100000000001</v>
      </c>
      <c r="MO56" s="184">
        <f>MO55*0.223</f>
        <v>2169.79</v>
      </c>
      <c r="MP56" s="184">
        <f t="shared" ref="MP56:NB56" si="42">MP55*0.314</f>
        <v>91.373999999999995</v>
      </c>
      <c r="MQ56" s="184">
        <f t="shared" si="42"/>
        <v>110.52800000000001</v>
      </c>
      <c r="MR56" s="184">
        <f t="shared" si="42"/>
        <v>166.42</v>
      </c>
      <c r="MS56" s="184">
        <f t="shared" si="42"/>
        <v>230.79</v>
      </c>
      <c r="MT56" s="184">
        <f t="shared" si="42"/>
        <v>230.79</v>
      </c>
      <c r="MU56" s="184">
        <f t="shared" si="42"/>
        <v>230.79</v>
      </c>
      <c r="MV56" s="184">
        <f t="shared" si="42"/>
        <v>230.79</v>
      </c>
      <c r="MW56" s="184">
        <f t="shared" si="42"/>
        <v>230.79</v>
      </c>
      <c r="MX56" s="184">
        <f t="shared" si="42"/>
        <v>230.79</v>
      </c>
      <c r="MY56" s="184">
        <f t="shared" si="42"/>
        <v>230.79</v>
      </c>
      <c r="MZ56" s="184">
        <f t="shared" si="42"/>
        <v>230.79</v>
      </c>
      <c r="NA56" s="184">
        <f t="shared" si="42"/>
        <v>230.79</v>
      </c>
      <c r="NB56" s="184">
        <f t="shared" si="42"/>
        <v>249.63</v>
      </c>
      <c r="NC56" s="184">
        <f>NC55*0.258</f>
        <v>264.70800000000003</v>
      </c>
      <c r="ND56" s="184">
        <f>ND55*0.314</f>
        <v>280.08800000000002</v>
      </c>
      <c r="NE56" s="184">
        <f>NE55*0.314</f>
        <v>280.08800000000002</v>
      </c>
      <c r="NF56" s="184">
        <f>NF55*0.314</f>
        <v>280.08800000000002</v>
      </c>
      <c r="NG56" s="184">
        <f>NG55*0.314</f>
        <v>280.08800000000002</v>
      </c>
      <c r="NH56" s="184">
        <f>NH55*0.314</f>
        <v>280.08800000000002</v>
      </c>
      <c r="NI56" s="184">
        <f>NI55*0.258</f>
        <v>321.98400000000004</v>
      </c>
      <c r="NJ56" s="184">
        <f>NJ55*0.258</f>
        <v>321.98400000000004</v>
      </c>
      <c r="NK56" s="184">
        <f>NK55*0.314</f>
        <v>72.22</v>
      </c>
      <c r="NL56" s="184">
        <f>NL55*0.314</f>
        <v>72.22</v>
      </c>
      <c r="NM56" s="184">
        <f>NM55*0.314</f>
        <v>72.22</v>
      </c>
      <c r="NN56" s="184">
        <f>NN55*0.314</f>
        <v>72.22</v>
      </c>
      <c r="NO56" s="184">
        <f>NO55*0.258</f>
        <v>404.80200000000002</v>
      </c>
      <c r="NP56" s="184">
        <f>NP55*0.258</f>
        <v>404.80200000000002</v>
      </c>
      <c r="NQ56" s="184">
        <f t="shared" ref="NQ56:NY56" si="43">NQ55*0.209</f>
        <v>418.83599999999996</v>
      </c>
      <c r="NR56" s="184">
        <f t="shared" si="43"/>
        <v>418.83599999999996</v>
      </c>
      <c r="NS56" s="184">
        <f t="shared" si="43"/>
        <v>422.18</v>
      </c>
      <c r="NT56" s="184">
        <f t="shared" si="43"/>
        <v>430.95799999999997</v>
      </c>
      <c r="NU56" s="184">
        <f t="shared" si="43"/>
        <v>430.95799999999997</v>
      </c>
      <c r="NV56" s="184">
        <f t="shared" si="43"/>
        <v>430.95799999999997</v>
      </c>
      <c r="NW56" s="184">
        <f t="shared" si="43"/>
        <v>461.05399999999997</v>
      </c>
      <c r="NX56" s="184">
        <f t="shared" si="43"/>
        <v>461.05399999999997</v>
      </c>
      <c r="NY56" s="184">
        <f t="shared" si="43"/>
        <v>461.05399999999997</v>
      </c>
      <c r="NZ56" s="184">
        <f>NZ55*0.314</f>
        <v>59.032000000000004</v>
      </c>
      <c r="OA56" s="184">
        <f>OA55*0.314</f>
        <v>59.032000000000004</v>
      </c>
      <c r="OB56" s="184">
        <f t="shared" ref="OB56:OG56" si="44">OB55*0.209</f>
        <v>1487.453</v>
      </c>
      <c r="OC56" s="184">
        <f t="shared" si="44"/>
        <v>1487.453</v>
      </c>
      <c r="OD56" s="184">
        <f t="shared" si="44"/>
        <v>1487.453</v>
      </c>
      <c r="OE56" s="184">
        <f t="shared" si="44"/>
        <v>1487.453</v>
      </c>
      <c r="OF56" s="184">
        <f t="shared" si="44"/>
        <v>1487.453</v>
      </c>
      <c r="OG56" s="184">
        <f t="shared" si="44"/>
        <v>1487.453</v>
      </c>
      <c r="OH56" s="184">
        <f t="shared" ref="OH56:OO56" si="45">OH55*0.223</f>
        <v>2147.0439999999999</v>
      </c>
      <c r="OI56" s="184">
        <f t="shared" si="45"/>
        <v>2147.0439999999999</v>
      </c>
      <c r="OJ56" s="184">
        <f t="shared" si="45"/>
        <v>2147.0439999999999</v>
      </c>
      <c r="OK56" s="184">
        <f t="shared" si="45"/>
        <v>2147.0439999999999</v>
      </c>
      <c r="OL56" s="184">
        <f t="shared" si="45"/>
        <v>2147.0439999999999</v>
      </c>
      <c r="OM56" s="184">
        <f t="shared" si="45"/>
        <v>2147.0439999999999</v>
      </c>
      <c r="ON56" s="184">
        <f t="shared" si="45"/>
        <v>2147.0439999999999</v>
      </c>
      <c r="OO56" s="184">
        <f t="shared" si="45"/>
        <v>2147.0439999999999</v>
      </c>
      <c r="OP56" s="184">
        <f t="shared" ref="OP56:OW56" si="46">OP55*0.258</f>
        <v>283.8</v>
      </c>
      <c r="OQ56" s="184">
        <f t="shared" si="46"/>
        <v>283.8</v>
      </c>
      <c r="OR56" s="184">
        <f t="shared" si="46"/>
        <v>283.8</v>
      </c>
      <c r="OS56" s="184">
        <f t="shared" si="46"/>
        <v>283.8</v>
      </c>
      <c r="OT56" s="184">
        <f t="shared" si="46"/>
        <v>299.28000000000003</v>
      </c>
      <c r="OU56" s="184">
        <f t="shared" si="46"/>
        <v>299.28000000000003</v>
      </c>
      <c r="OV56" s="184">
        <f t="shared" si="46"/>
        <v>299.28000000000003</v>
      </c>
      <c r="OW56" s="184">
        <f t="shared" si="46"/>
        <v>299.28000000000003</v>
      </c>
      <c r="OX56" s="184">
        <f t="shared" ref="OX56:PJ56" si="47">OX55*0.314</f>
        <v>172.7</v>
      </c>
      <c r="OY56" s="184">
        <f t="shared" si="47"/>
        <v>172.7</v>
      </c>
      <c r="OZ56" s="184">
        <f t="shared" si="47"/>
        <v>172.7</v>
      </c>
      <c r="PA56" s="184">
        <f t="shared" si="47"/>
        <v>172.7</v>
      </c>
      <c r="PB56" s="184">
        <f t="shared" si="47"/>
        <v>235.18600000000001</v>
      </c>
      <c r="PC56" s="184">
        <f t="shared" si="47"/>
        <v>235.18600000000001</v>
      </c>
      <c r="PD56" s="184">
        <f t="shared" si="47"/>
        <v>235.18600000000001</v>
      </c>
      <c r="PE56" s="184">
        <f t="shared" si="47"/>
        <v>235.18600000000001</v>
      </c>
      <c r="PF56" s="184">
        <f t="shared" si="47"/>
        <v>235.18600000000001</v>
      </c>
      <c r="PG56" s="184">
        <f t="shared" si="47"/>
        <v>235.18600000000001</v>
      </c>
      <c r="PH56" s="184">
        <f t="shared" si="47"/>
        <v>235.18600000000001</v>
      </c>
      <c r="PI56" s="184">
        <f t="shared" si="47"/>
        <v>235.18600000000001</v>
      </c>
      <c r="PJ56" s="184">
        <f t="shared" si="47"/>
        <v>235.18600000000001</v>
      </c>
      <c r="PK56" s="184">
        <f>PK55*0.258</f>
        <v>277.09199999999998</v>
      </c>
      <c r="PL56" s="184">
        <f>PL55*0.314</f>
        <v>287.62400000000002</v>
      </c>
      <c r="PM56" s="184">
        <f>PM55*0.314</f>
        <v>287.62400000000002</v>
      </c>
      <c r="PN56" s="184">
        <f t="shared" ref="PN56:PV56" si="48">PN55*0.258</f>
        <v>312.43799999999999</v>
      </c>
      <c r="PO56" s="184">
        <f t="shared" si="48"/>
        <v>312.43799999999999</v>
      </c>
      <c r="PP56" s="184">
        <f t="shared" si="48"/>
        <v>312.43799999999999</v>
      </c>
      <c r="PQ56" s="184">
        <f t="shared" si="48"/>
        <v>312.43799999999999</v>
      </c>
      <c r="PR56" s="184">
        <f t="shared" si="48"/>
        <v>312.43799999999999</v>
      </c>
      <c r="PS56" s="184">
        <f t="shared" si="48"/>
        <v>322.5</v>
      </c>
      <c r="PT56" s="184">
        <f t="shared" si="48"/>
        <v>322.5</v>
      </c>
      <c r="PU56" s="184">
        <f t="shared" si="48"/>
        <v>382.35599999999999</v>
      </c>
      <c r="PV56" s="184">
        <f t="shared" si="48"/>
        <v>434.214</v>
      </c>
      <c r="PW56" s="184">
        <f>PW55*0.23</f>
        <v>1955.69</v>
      </c>
      <c r="PX56" s="184">
        <f t="shared" ref="PX56:QF56" si="49">PX55*0.223</f>
        <v>2161.9850000000001</v>
      </c>
      <c r="PY56" s="184">
        <f t="shared" si="49"/>
        <v>2161.9850000000001</v>
      </c>
      <c r="PZ56" s="184">
        <f t="shared" si="49"/>
        <v>2161.9850000000001</v>
      </c>
      <c r="QA56" s="184">
        <f t="shared" si="49"/>
        <v>2161.9850000000001</v>
      </c>
      <c r="QB56" s="184">
        <f t="shared" si="49"/>
        <v>2169.567</v>
      </c>
      <c r="QC56" s="184">
        <f t="shared" si="49"/>
        <v>2209.7069999999999</v>
      </c>
      <c r="QD56" s="184">
        <f t="shared" si="49"/>
        <v>2209.7069999999999</v>
      </c>
      <c r="QE56" s="184">
        <f t="shared" si="49"/>
        <v>2209.7069999999999</v>
      </c>
      <c r="QF56" s="184">
        <f t="shared" si="49"/>
        <v>2209.7069999999999</v>
      </c>
      <c r="QG56" s="184">
        <f>QG55*0.314</f>
        <v>137.846</v>
      </c>
      <c r="QH56" s="184">
        <f t="shared" ref="QH56:QW56" si="50">QH55*0.258</f>
        <v>309.60000000000002</v>
      </c>
      <c r="QI56" s="184">
        <f t="shared" si="50"/>
        <v>351.39600000000002</v>
      </c>
      <c r="QJ56" s="184">
        <f t="shared" si="50"/>
        <v>351.39600000000002</v>
      </c>
      <c r="QK56" s="184">
        <f t="shared" si="50"/>
        <v>351.39600000000002</v>
      </c>
      <c r="QL56" s="184">
        <f t="shared" si="50"/>
        <v>351.39600000000002</v>
      </c>
      <c r="QM56" s="184">
        <f t="shared" si="50"/>
        <v>352.428</v>
      </c>
      <c r="QN56" s="184">
        <f t="shared" si="50"/>
        <v>399.38400000000001</v>
      </c>
      <c r="QO56" s="184">
        <f t="shared" si="50"/>
        <v>399.38400000000001</v>
      </c>
      <c r="QP56" s="184">
        <f t="shared" si="50"/>
        <v>399.38400000000001</v>
      </c>
      <c r="QQ56" s="184">
        <f t="shared" si="50"/>
        <v>402.48</v>
      </c>
      <c r="QR56" s="184">
        <f t="shared" si="50"/>
        <v>402.48</v>
      </c>
      <c r="QS56" s="184">
        <f t="shared" si="50"/>
        <v>416.67</v>
      </c>
      <c r="QT56" s="184">
        <f t="shared" si="50"/>
        <v>422.60399999999998</v>
      </c>
      <c r="QU56" s="184">
        <f t="shared" si="50"/>
        <v>422.60399999999998</v>
      </c>
      <c r="QV56" s="184">
        <f t="shared" si="50"/>
        <v>422.60399999999998</v>
      </c>
      <c r="QW56" s="184">
        <f t="shared" si="50"/>
        <v>422.60399999999998</v>
      </c>
      <c r="QX56" s="184">
        <f t="shared" ref="QX56:RE56" si="51">QX55*0.209</f>
        <v>441.82599999999996</v>
      </c>
      <c r="QY56" s="184">
        <f t="shared" si="51"/>
        <v>441.82599999999996</v>
      </c>
      <c r="QZ56" s="184">
        <f t="shared" si="51"/>
        <v>441.82599999999996</v>
      </c>
      <c r="RA56" s="184">
        <f t="shared" si="51"/>
        <v>441.82599999999996</v>
      </c>
      <c r="RB56" s="184">
        <f t="shared" si="51"/>
        <v>441.82599999999996</v>
      </c>
      <c r="RC56" s="184">
        <f t="shared" si="51"/>
        <v>441.82599999999996</v>
      </c>
      <c r="RD56" s="184">
        <f t="shared" si="51"/>
        <v>441.82599999999996</v>
      </c>
      <c r="RE56" s="184">
        <f t="shared" si="51"/>
        <v>441.82599999999996</v>
      </c>
      <c r="RF56" s="184">
        <f t="shared" ref="RF56:RP56" si="52">RF55*0.258</f>
        <v>453.30600000000004</v>
      </c>
      <c r="RG56" s="184">
        <f t="shared" si="52"/>
        <v>458.98200000000003</v>
      </c>
      <c r="RH56" s="184">
        <f t="shared" si="52"/>
        <v>485.04</v>
      </c>
      <c r="RI56" s="184">
        <f t="shared" si="52"/>
        <v>485.04</v>
      </c>
      <c r="RJ56" s="184">
        <f t="shared" si="52"/>
        <v>485.04</v>
      </c>
      <c r="RK56" s="184">
        <f t="shared" si="52"/>
        <v>485.04</v>
      </c>
      <c r="RL56" s="184">
        <f t="shared" si="52"/>
        <v>485.04</v>
      </c>
      <c r="RM56" s="184">
        <f t="shared" si="52"/>
        <v>485.04</v>
      </c>
      <c r="RN56" s="184">
        <f t="shared" si="52"/>
        <v>485.04</v>
      </c>
      <c r="RO56" s="184">
        <f t="shared" si="52"/>
        <v>485.04</v>
      </c>
      <c r="RP56" s="184">
        <f t="shared" si="52"/>
        <v>485.04</v>
      </c>
      <c r="RQ56" s="184">
        <f>RQ55*0.209</f>
        <v>1460.9099999999999</v>
      </c>
      <c r="RR56" s="184">
        <f>RR55*0.209</f>
        <v>1460.9099999999999</v>
      </c>
      <c r="RS56" s="184">
        <f>RS55*0.209</f>
        <v>1460.9099999999999</v>
      </c>
      <c r="RT56" s="184">
        <f>RT55*0.223</f>
        <v>2021.4950000000001</v>
      </c>
      <c r="RU56" s="184">
        <f>RU55*0.223</f>
        <v>2021.4950000000001</v>
      </c>
      <c r="RV56" s="184">
        <f>RV55*0.223</f>
        <v>2021.4950000000001</v>
      </c>
      <c r="RW56" s="184">
        <f>RW55*0.223</f>
        <v>2021.4950000000001</v>
      </c>
      <c r="RX56" s="184">
        <f>RX55*0.258</f>
        <v>259.80599999999998</v>
      </c>
      <c r="RY56" s="184">
        <f>RY55*0.23</f>
        <v>1955.69</v>
      </c>
      <c r="RZ56" s="184">
        <f>RZ55*0.23</f>
        <v>1955.69</v>
      </c>
      <c r="SA56" s="184">
        <f>SA55*0.223</f>
        <v>2024.617</v>
      </c>
      <c r="SB56" s="184">
        <f>SB55*0.223</f>
        <v>2098.8760000000002</v>
      </c>
      <c r="SC56" s="184">
        <f>SC55*0.258</f>
        <v>418.476</v>
      </c>
      <c r="SD56" s="184">
        <f>SD55*0.258</f>
        <v>514.96799999999996</v>
      </c>
      <c r="SE56" s="184">
        <f>SE55*0.258</f>
        <v>514.96799999999996</v>
      </c>
      <c r="SF56" s="184">
        <f>SF55*0.258</f>
        <v>514.96799999999996</v>
      </c>
      <c r="SG56" s="184">
        <f t="shared" ref="SG56:SL56" si="53">SG55*0.314</f>
        <v>230.79</v>
      </c>
      <c r="SH56" s="184">
        <f t="shared" si="53"/>
        <v>230.79</v>
      </c>
      <c r="SI56" s="184">
        <f t="shared" si="53"/>
        <v>230.79</v>
      </c>
      <c r="SJ56" s="184">
        <f t="shared" si="53"/>
        <v>230.79</v>
      </c>
      <c r="SK56" s="184">
        <f t="shared" si="53"/>
        <v>230.79</v>
      </c>
      <c r="SL56" s="184">
        <f t="shared" si="53"/>
        <v>230.79</v>
      </c>
      <c r="SM56" s="184">
        <f t="shared" ref="SM56:SX56" si="54">SM55*0.258</f>
        <v>277.86599999999999</v>
      </c>
      <c r="SN56" s="184">
        <f t="shared" si="54"/>
        <v>277.86599999999999</v>
      </c>
      <c r="SO56" s="184">
        <f t="shared" si="54"/>
        <v>277.86599999999999</v>
      </c>
      <c r="SP56" s="184">
        <f t="shared" si="54"/>
        <v>299.02199999999999</v>
      </c>
      <c r="SQ56" s="184">
        <f t="shared" si="54"/>
        <v>355.524</v>
      </c>
      <c r="SR56" s="184">
        <f t="shared" si="54"/>
        <v>309.084</v>
      </c>
      <c r="SS56" s="184">
        <f t="shared" si="54"/>
        <v>309.084</v>
      </c>
      <c r="ST56" s="184">
        <f t="shared" si="54"/>
        <v>309.084</v>
      </c>
      <c r="SU56" s="184">
        <f t="shared" si="54"/>
        <v>309.084</v>
      </c>
      <c r="SV56" s="184">
        <f t="shared" si="54"/>
        <v>309.084</v>
      </c>
      <c r="SW56" s="184">
        <f t="shared" si="54"/>
        <v>309.084</v>
      </c>
      <c r="SX56" s="184">
        <f t="shared" si="54"/>
        <v>358.10399999999998</v>
      </c>
      <c r="SY56" s="184">
        <f t="shared" ref="SY56:TD56" si="55">SY55*0.314</f>
        <v>270.04000000000002</v>
      </c>
      <c r="SZ56" s="184">
        <f t="shared" si="55"/>
        <v>270.04000000000002</v>
      </c>
      <c r="TA56" s="184">
        <f t="shared" si="55"/>
        <v>270.04000000000002</v>
      </c>
      <c r="TB56" s="184">
        <f t="shared" si="55"/>
        <v>270.04000000000002</v>
      </c>
      <c r="TC56" s="184">
        <f t="shared" si="55"/>
        <v>270.04000000000002</v>
      </c>
      <c r="TD56" s="184">
        <f t="shared" si="55"/>
        <v>276.94799999999998</v>
      </c>
      <c r="TE56" s="184">
        <f>TE55*0.223</f>
        <v>2089.0639999999999</v>
      </c>
      <c r="TF56" s="184">
        <f t="shared" ref="TF56:TS56" si="56">TF55*0.258</f>
        <v>344.43</v>
      </c>
      <c r="TG56" s="184">
        <f t="shared" si="56"/>
        <v>344.43</v>
      </c>
      <c r="TH56" s="184">
        <f t="shared" si="56"/>
        <v>372.55200000000002</v>
      </c>
      <c r="TI56" s="184">
        <f t="shared" si="56"/>
        <v>372.55200000000002</v>
      </c>
      <c r="TJ56" s="184">
        <f t="shared" si="56"/>
        <v>372.55200000000002</v>
      </c>
      <c r="TK56" s="184">
        <f t="shared" si="56"/>
        <v>431.11799999999999</v>
      </c>
      <c r="TL56" s="184">
        <f t="shared" si="56"/>
        <v>431.11799999999999</v>
      </c>
      <c r="TM56" s="184">
        <f t="shared" si="56"/>
        <v>431.11799999999999</v>
      </c>
      <c r="TN56" s="184">
        <f t="shared" si="56"/>
        <v>431.11799999999999</v>
      </c>
      <c r="TO56" s="184">
        <f t="shared" si="56"/>
        <v>313.47000000000003</v>
      </c>
      <c r="TP56" s="184">
        <f t="shared" si="56"/>
        <v>315.79200000000003</v>
      </c>
      <c r="TQ56" s="184">
        <f t="shared" si="56"/>
        <v>315.79200000000003</v>
      </c>
      <c r="TR56" s="184">
        <f t="shared" si="56"/>
        <v>372.55200000000002</v>
      </c>
      <c r="TS56" s="184">
        <f t="shared" si="56"/>
        <v>372.55200000000002</v>
      </c>
      <c r="TT56" s="184">
        <f>TT55*0.223</f>
        <v>2364.915</v>
      </c>
      <c r="TU56" s="184">
        <f>TU55*0.223</f>
        <v>2364.915</v>
      </c>
      <c r="TV56" s="184">
        <f>TV55*0.223</f>
        <v>2364.915</v>
      </c>
      <c r="TW56" s="184">
        <f>TW55*0.223</f>
        <v>2364.915</v>
      </c>
      <c r="TX56" s="184">
        <f t="shared" ref="TX56:UF56" si="57">TX55*0.258</f>
        <v>365.07</v>
      </c>
      <c r="TY56" s="184">
        <f t="shared" si="57"/>
        <v>365.07</v>
      </c>
      <c r="TZ56" s="184">
        <f t="shared" si="57"/>
        <v>365.07</v>
      </c>
      <c r="UA56" s="184">
        <f t="shared" si="57"/>
        <v>365.07</v>
      </c>
      <c r="UB56" s="184">
        <f t="shared" si="57"/>
        <v>450.98400000000004</v>
      </c>
      <c r="UC56" s="184">
        <f t="shared" si="57"/>
        <v>450.98400000000004</v>
      </c>
      <c r="UD56" s="184">
        <f t="shared" si="57"/>
        <v>450.98400000000004</v>
      </c>
      <c r="UE56" s="184">
        <f t="shared" si="57"/>
        <v>450.98400000000004</v>
      </c>
      <c r="UF56" s="184">
        <f t="shared" si="57"/>
        <v>450.98400000000004</v>
      </c>
      <c r="UG56" s="184">
        <f>UG55*0.314</f>
        <v>105.19</v>
      </c>
      <c r="UH56" s="184">
        <f>UH55*0.314</f>
        <v>105.19</v>
      </c>
      <c r="UI56" s="184">
        <f>UI55*0.23</f>
        <v>888.95</v>
      </c>
      <c r="UJ56" s="184">
        <f>UJ55*0.23</f>
        <v>888.95</v>
      </c>
      <c r="UK56" s="184">
        <f>UK55*0.23</f>
        <v>888.95</v>
      </c>
      <c r="UL56" s="184">
        <f>UL55*0.258</f>
        <v>280.70400000000001</v>
      </c>
      <c r="UM56" s="184">
        <f>UM55*0.258</f>
        <v>280.70400000000001</v>
      </c>
      <c r="UN56" s="184">
        <f>UN55*0.258</f>
        <v>513.93600000000004</v>
      </c>
      <c r="UO56" s="184">
        <f>UO55*0.258</f>
        <v>513.93600000000004</v>
      </c>
      <c r="UP56" s="184">
        <f>UP55*0.258</f>
        <v>513.93600000000004</v>
      </c>
      <c r="UQ56" s="184">
        <f t="shared" ref="UQ56:VD56" si="58">UQ55*0.314</f>
        <v>77.244</v>
      </c>
      <c r="UR56" s="184">
        <f t="shared" si="58"/>
        <v>77.244</v>
      </c>
      <c r="US56" s="184">
        <f t="shared" si="58"/>
        <v>77.244</v>
      </c>
      <c r="UT56" s="184">
        <f t="shared" si="58"/>
        <v>129.99600000000001</v>
      </c>
      <c r="UU56" s="184">
        <f t="shared" si="58"/>
        <v>129.99600000000001</v>
      </c>
      <c r="UV56" s="184">
        <f t="shared" si="58"/>
        <v>129.99600000000001</v>
      </c>
      <c r="UW56" s="184">
        <f t="shared" si="58"/>
        <v>147.26599999999999</v>
      </c>
      <c r="UX56" s="184">
        <f t="shared" si="58"/>
        <v>147.26599999999999</v>
      </c>
      <c r="UY56" s="184">
        <f t="shared" si="58"/>
        <v>147.26599999999999</v>
      </c>
      <c r="UZ56" s="184">
        <f t="shared" si="58"/>
        <v>147.26599999999999</v>
      </c>
      <c r="VA56" s="184">
        <f t="shared" si="58"/>
        <v>147.26599999999999</v>
      </c>
      <c r="VB56" s="184">
        <f t="shared" si="58"/>
        <v>147.26599999999999</v>
      </c>
      <c r="VC56" s="184">
        <f t="shared" si="58"/>
        <v>147.26599999999999</v>
      </c>
      <c r="VD56" s="184">
        <f t="shared" si="58"/>
        <v>147.26599999999999</v>
      </c>
      <c r="VE56" s="184">
        <f t="shared" ref="VE56:VJ56" si="59">VE55*0.209</f>
        <v>1277.4079999999999</v>
      </c>
      <c r="VF56" s="184">
        <f t="shared" si="59"/>
        <v>1277.4079999999999</v>
      </c>
      <c r="VG56" s="184">
        <f t="shared" si="59"/>
        <v>1277.4079999999999</v>
      </c>
      <c r="VH56" s="184">
        <f t="shared" si="59"/>
        <v>1277.4079999999999</v>
      </c>
      <c r="VI56" s="184">
        <f t="shared" si="59"/>
        <v>1277.4079999999999</v>
      </c>
      <c r="VJ56" s="184">
        <f t="shared" si="59"/>
        <v>1277.4079999999999</v>
      </c>
      <c r="VK56" s="184">
        <f>VK55*0.223</f>
        <v>1285.1490000000001</v>
      </c>
      <c r="VL56" s="184">
        <f>VL55*0.209</f>
        <v>1290.9929999999999</v>
      </c>
      <c r="VM56" s="184">
        <f>VM55*0.209</f>
        <v>1290.9929999999999</v>
      </c>
      <c r="VN56" s="184">
        <f>VN55*0.223</f>
        <v>1298.752</v>
      </c>
      <c r="VO56" s="184">
        <f>VO55*0.223</f>
        <v>1298.752</v>
      </c>
      <c r="VP56" s="184">
        <f>VP55*0.223</f>
        <v>1298.752</v>
      </c>
      <c r="VQ56" s="184">
        <f t="shared" ref="VQ56:VW56" si="60">VQ55*0.209</f>
        <v>1353.4839999999999</v>
      </c>
      <c r="VR56" s="184">
        <f t="shared" si="60"/>
        <v>1509.607</v>
      </c>
      <c r="VS56" s="184">
        <f t="shared" si="60"/>
        <v>1510.652</v>
      </c>
      <c r="VT56" s="184">
        <f t="shared" si="60"/>
        <v>1570.008</v>
      </c>
      <c r="VU56" s="184">
        <f t="shared" si="60"/>
        <v>1570.008</v>
      </c>
      <c r="VV56" s="184">
        <f t="shared" si="60"/>
        <v>1570.008</v>
      </c>
      <c r="VW56" s="184">
        <f t="shared" si="60"/>
        <v>1570.008</v>
      </c>
      <c r="VX56" s="184">
        <f>VX55*0.23</f>
        <v>1846.44</v>
      </c>
      <c r="VY56" s="184">
        <f>VY55*0.23</f>
        <v>1846.44</v>
      </c>
      <c r="VZ56" s="184">
        <f>VZ55*0.23</f>
        <v>1846.44</v>
      </c>
      <c r="WA56" s="184">
        <f>WA55*0.223</f>
        <v>2026.624</v>
      </c>
      <c r="WB56" s="184">
        <f>WB55*0.223</f>
        <v>2030.415</v>
      </c>
      <c r="WC56" s="184">
        <f>WC55*0.223</f>
        <v>2030.415</v>
      </c>
      <c r="WD56" s="184">
        <f>WD55*0.223</f>
        <v>2044.91</v>
      </c>
      <c r="WE56" s="184">
        <f>WE55*0.223</f>
        <v>2044.91</v>
      </c>
      <c r="WF56" s="184">
        <f>WF55*0.23</f>
        <v>2059.88</v>
      </c>
      <c r="WG56" s="184">
        <f t="shared" ref="WG56:WO56" si="61">WG55*0.223</f>
        <v>2083.0430000000001</v>
      </c>
      <c r="WH56" s="184">
        <f t="shared" si="61"/>
        <v>2083.0430000000001</v>
      </c>
      <c r="WI56" s="184">
        <f t="shared" si="61"/>
        <v>2083.0430000000001</v>
      </c>
      <c r="WJ56" s="184">
        <f t="shared" si="61"/>
        <v>2083.0430000000001</v>
      </c>
      <c r="WK56" s="184">
        <f t="shared" si="61"/>
        <v>2088.8409999999999</v>
      </c>
      <c r="WL56" s="184">
        <f t="shared" si="61"/>
        <v>2110.4720000000002</v>
      </c>
      <c r="WM56" s="184">
        <f t="shared" si="61"/>
        <v>2240.2579999999998</v>
      </c>
      <c r="WN56" s="184">
        <f t="shared" si="61"/>
        <v>2240.2579999999998</v>
      </c>
      <c r="WO56" s="184">
        <f t="shared" si="61"/>
        <v>2240.2579999999998</v>
      </c>
      <c r="ZL56" s="182" t="str">
        <f t="shared" si="1"/>
        <v>CARDIFF -LYON</v>
      </c>
      <c r="ZM56" s="183" t="s">
        <v>544</v>
      </c>
      <c r="ZN56" s="182" t="s">
        <v>517</v>
      </c>
      <c r="ZO56" s="182">
        <v>865</v>
      </c>
      <c r="ZP56" s="198">
        <v>271.61</v>
      </c>
      <c r="ZQ56" s="193"/>
      <c r="ZR56" s="193"/>
      <c r="ZS56" s="193"/>
      <c r="ZT56" s="193"/>
    </row>
    <row r="57" spans="1:696" ht="43.2">
      <c r="D57" s="735"/>
      <c r="E57" s="195" t="s">
        <v>767</v>
      </c>
      <c r="F57" s="195">
        <f>SUM(F56:WO56)*0.001</f>
        <v>386.59965899999895</v>
      </c>
      <c r="G57" s="92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2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4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2"/>
      <c r="BX57" s="92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2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  <c r="EO57" s="93"/>
      <c r="EP57" s="93"/>
      <c r="EQ57" s="93"/>
      <c r="ER57" s="93"/>
      <c r="ES57" s="93"/>
      <c r="ET57" s="93"/>
      <c r="EU57" s="93"/>
      <c r="EV57" s="93"/>
      <c r="EW57" s="93"/>
      <c r="EX57" s="93"/>
      <c r="EY57" s="93"/>
      <c r="EZ57" s="93"/>
      <c r="FA57" s="93"/>
      <c r="FB57" s="93"/>
      <c r="FC57" s="93"/>
      <c r="FD57" s="93"/>
      <c r="FE57" s="93"/>
      <c r="FF57" s="93"/>
      <c r="FG57" s="93"/>
      <c r="FH57" s="93"/>
      <c r="FI57" s="93"/>
      <c r="FJ57" s="93"/>
      <c r="FK57" s="93"/>
      <c r="FL57" s="93"/>
      <c r="FM57" s="92"/>
      <c r="FN57" s="93"/>
      <c r="FO57" s="93"/>
      <c r="FP57" s="93"/>
      <c r="FQ57" s="93"/>
      <c r="FR57" s="93"/>
      <c r="FS57" s="93"/>
      <c r="FT57" s="93"/>
      <c r="FU57" s="93"/>
      <c r="FV57" s="93"/>
      <c r="FW57" s="92"/>
      <c r="FX57" s="92"/>
      <c r="FY57" s="92"/>
      <c r="FZ57" s="92"/>
      <c r="GA57" s="92"/>
      <c r="GB57" s="93"/>
      <c r="GC57" s="93"/>
      <c r="GD57" s="93"/>
      <c r="GE57" s="93"/>
      <c r="GF57" s="93"/>
      <c r="GG57" s="93"/>
      <c r="GH57" s="93"/>
      <c r="GI57" s="93"/>
      <c r="GJ57" s="93"/>
      <c r="GK57" s="93"/>
      <c r="GL57" s="93"/>
      <c r="GM57" s="93"/>
      <c r="GN57" s="93"/>
      <c r="GO57" s="93"/>
      <c r="GP57" s="93"/>
      <c r="GQ57" s="93"/>
      <c r="GR57" s="93"/>
      <c r="GS57" s="93"/>
      <c r="GT57" s="93"/>
      <c r="GU57" s="93"/>
      <c r="GV57" s="93"/>
      <c r="GW57" s="93"/>
      <c r="GX57" s="93"/>
      <c r="GY57" s="93"/>
      <c r="GZ57" s="93"/>
      <c r="HA57" s="93"/>
      <c r="HB57" s="93"/>
      <c r="HC57" s="93"/>
      <c r="HD57" s="93"/>
      <c r="HE57" s="93"/>
      <c r="HF57" s="93"/>
      <c r="HG57" s="93"/>
      <c r="HH57" s="93"/>
      <c r="HI57" s="93"/>
      <c r="HJ57" s="93"/>
      <c r="HK57" s="92"/>
      <c r="HL57" s="93"/>
      <c r="HM57" s="93"/>
      <c r="HN57" s="93"/>
      <c r="HO57" s="93"/>
      <c r="HP57" s="93"/>
      <c r="HQ57" s="93"/>
      <c r="HR57" s="93"/>
      <c r="HS57" s="93"/>
      <c r="HT57" s="93"/>
      <c r="HU57" s="93"/>
      <c r="HV57" s="93"/>
      <c r="HW57" s="93"/>
      <c r="HX57" s="93"/>
      <c r="HY57" s="93"/>
      <c r="HZ57" s="93"/>
      <c r="IA57" s="93"/>
      <c r="IB57" s="93"/>
      <c r="IC57" s="93"/>
      <c r="ID57" s="93"/>
      <c r="IE57" s="93"/>
      <c r="IF57" s="93"/>
      <c r="IG57" s="93"/>
      <c r="IH57" s="93"/>
      <c r="II57" s="93"/>
      <c r="IJ57" s="93"/>
      <c r="IK57" s="93"/>
      <c r="IL57" s="93"/>
      <c r="IM57" s="93"/>
      <c r="IN57" s="93"/>
      <c r="IO57" s="93"/>
      <c r="IP57" s="93"/>
      <c r="IQ57" s="93"/>
      <c r="IR57" s="93"/>
      <c r="IS57" s="93"/>
      <c r="IT57" s="93"/>
      <c r="IU57" s="93"/>
      <c r="IV57" s="93"/>
      <c r="IW57" s="93"/>
      <c r="IX57" s="93"/>
      <c r="IY57" s="93"/>
      <c r="IZ57" s="93"/>
      <c r="JA57" s="93"/>
      <c r="JB57" s="93"/>
      <c r="JC57" s="93"/>
      <c r="JD57" s="93"/>
      <c r="JE57" s="93"/>
      <c r="JF57" s="93"/>
      <c r="JG57" s="92"/>
      <c r="JH57" s="92"/>
      <c r="JI57" s="93"/>
      <c r="JJ57" s="93"/>
      <c r="JK57" s="93"/>
      <c r="JL57" s="93"/>
      <c r="JM57" s="93"/>
      <c r="JN57" s="93"/>
      <c r="JO57" s="93"/>
      <c r="JP57" s="93"/>
      <c r="JQ57" s="93"/>
      <c r="JR57" s="93"/>
      <c r="JS57" s="93"/>
      <c r="JT57" s="93"/>
      <c r="JU57" s="93"/>
      <c r="JV57" s="93"/>
      <c r="JW57" s="93"/>
      <c r="JX57" s="93"/>
      <c r="JY57" s="93"/>
      <c r="JZ57" s="93"/>
      <c r="KA57" s="93"/>
      <c r="KB57" s="93"/>
      <c r="KC57" s="93"/>
      <c r="KD57" s="93"/>
      <c r="KE57" s="93"/>
      <c r="KF57" s="93"/>
      <c r="KG57" s="93"/>
      <c r="KH57" s="93"/>
      <c r="KI57" s="93"/>
      <c r="KJ57" s="93"/>
      <c r="KK57" s="92"/>
      <c r="KL57" s="93"/>
      <c r="KM57" s="93"/>
      <c r="KN57" s="93"/>
      <c r="KO57" s="93"/>
      <c r="KP57" s="93"/>
      <c r="KQ57" s="93"/>
      <c r="KR57" s="93"/>
      <c r="KS57" s="93"/>
      <c r="KT57" s="93"/>
      <c r="KU57" s="93"/>
      <c r="KV57" s="93"/>
      <c r="KW57" s="93"/>
      <c r="KX57" s="93"/>
      <c r="KY57" s="93"/>
      <c r="KZ57" s="93"/>
      <c r="LA57" s="93"/>
      <c r="LB57" s="93"/>
      <c r="LC57" s="93"/>
      <c r="LD57" s="93"/>
      <c r="LE57" s="93"/>
      <c r="LF57" s="93"/>
      <c r="LG57" s="93"/>
      <c r="LH57" s="93"/>
      <c r="LI57" s="93"/>
      <c r="LJ57" s="93"/>
      <c r="LK57" s="93"/>
      <c r="LL57" s="93"/>
      <c r="LM57" s="93"/>
      <c r="LN57" s="93"/>
      <c r="LO57" s="93"/>
      <c r="LP57" s="93"/>
      <c r="LQ57" s="93"/>
      <c r="LR57" s="93"/>
      <c r="LS57" s="93"/>
      <c r="LT57" s="93"/>
      <c r="LU57" s="93"/>
      <c r="LV57" s="93"/>
      <c r="LW57" s="93"/>
      <c r="LX57" s="93"/>
      <c r="LY57" s="93"/>
      <c r="LZ57" s="93"/>
      <c r="MA57" s="93"/>
      <c r="MB57" s="93"/>
      <c r="MC57" s="93"/>
      <c r="MD57" s="93"/>
      <c r="ME57" s="93"/>
      <c r="MF57" s="93"/>
      <c r="MG57" s="93"/>
      <c r="MH57" s="93"/>
      <c r="MI57" s="93"/>
      <c r="MJ57" s="93"/>
      <c r="MK57" s="93"/>
      <c r="ML57" s="93"/>
      <c r="MM57" s="93"/>
      <c r="MN57" s="93"/>
      <c r="MO57" s="93"/>
      <c r="MP57" s="93"/>
      <c r="MQ57" s="93"/>
      <c r="MR57" s="93"/>
      <c r="MS57" s="93"/>
      <c r="MT57" s="93"/>
      <c r="MU57" s="93"/>
      <c r="MV57" s="93"/>
      <c r="MW57" s="93"/>
      <c r="MX57" s="92"/>
      <c r="MY57" s="93"/>
      <c r="MZ57" s="93"/>
      <c r="NA57" s="93"/>
      <c r="NB57" s="93"/>
      <c r="NC57" s="93"/>
      <c r="ND57" s="93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3"/>
      <c r="NS57" s="93"/>
      <c r="NT57" s="93"/>
      <c r="NU57" s="93"/>
      <c r="NV57" s="93"/>
      <c r="NW57" s="93"/>
      <c r="NX57" s="93"/>
      <c r="NY57" s="93"/>
      <c r="NZ57" s="93"/>
      <c r="OA57" s="93"/>
      <c r="OB57" s="93"/>
      <c r="OC57" s="93"/>
      <c r="OD57" s="93"/>
      <c r="OE57" s="93"/>
      <c r="OF57" s="93"/>
      <c r="OG57" s="93"/>
      <c r="OH57" s="93"/>
      <c r="OI57" s="93"/>
      <c r="OJ57" s="93"/>
      <c r="OK57" s="93"/>
      <c r="OL57" s="93"/>
      <c r="OM57" s="93"/>
      <c r="ON57" s="93"/>
      <c r="OO57" s="93"/>
      <c r="OP57" s="93"/>
      <c r="OQ57" s="92"/>
      <c r="OR57" s="92"/>
      <c r="OS57" s="93"/>
      <c r="OT57" s="93"/>
      <c r="OU57" s="93"/>
      <c r="OV57" s="93"/>
      <c r="OW57" s="93"/>
      <c r="OX57" s="93"/>
      <c r="OY57" s="93"/>
      <c r="OZ57" s="93"/>
      <c r="PA57" s="93"/>
      <c r="PB57" s="93"/>
      <c r="PC57" s="93"/>
      <c r="PD57" s="93"/>
      <c r="PE57" s="93"/>
      <c r="PF57" s="93"/>
      <c r="PG57" s="93"/>
      <c r="PH57" s="93"/>
      <c r="PI57" s="93"/>
      <c r="PJ57" s="93"/>
      <c r="PK57" s="93"/>
      <c r="PL57" s="93"/>
      <c r="PM57" s="93"/>
      <c r="PN57" s="93"/>
      <c r="PO57" s="93"/>
      <c r="PP57" s="93"/>
      <c r="PQ57" s="93"/>
      <c r="PR57" s="93"/>
      <c r="PS57" s="93"/>
      <c r="PT57" s="93"/>
      <c r="PU57" s="93"/>
      <c r="PV57" s="93"/>
      <c r="PW57" s="93"/>
      <c r="PX57" s="93"/>
      <c r="PY57" s="93"/>
      <c r="PZ57" s="93"/>
      <c r="QA57" s="93"/>
      <c r="QB57" s="93"/>
      <c r="QC57" s="93"/>
      <c r="QD57" s="93"/>
      <c r="QE57" s="93"/>
      <c r="QF57" s="93"/>
      <c r="QG57" s="93"/>
      <c r="QH57" s="93"/>
      <c r="QI57" s="93"/>
      <c r="QJ57" s="93"/>
      <c r="QK57" s="93"/>
      <c r="QL57" s="93"/>
      <c r="QM57" s="93"/>
      <c r="QN57" s="93"/>
      <c r="QO57" s="93"/>
      <c r="QP57" s="93"/>
      <c r="QQ57" s="93"/>
      <c r="QR57" s="93"/>
      <c r="QS57" s="93"/>
      <c r="QT57" s="92"/>
      <c r="QU57" s="93"/>
      <c r="QV57" s="93"/>
      <c r="QW57" s="93"/>
      <c r="QX57" s="93"/>
      <c r="QY57" s="93"/>
      <c r="QZ57" s="93"/>
      <c r="RA57" s="93"/>
      <c r="RB57" s="93"/>
      <c r="RC57" s="93"/>
      <c r="RD57" s="93"/>
      <c r="RE57" s="92"/>
      <c r="RF57" s="93"/>
      <c r="RG57" s="93"/>
      <c r="RH57" s="93"/>
      <c r="RI57" s="93"/>
      <c r="RJ57" s="93"/>
      <c r="RK57" s="93"/>
      <c r="RL57" s="93"/>
      <c r="RM57" s="93"/>
      <c r="RN57" s="93"/>
      <c r="RO57" s="93"/>
      <c r="RP57" s="93"/>
      <c r="RQ57" s="93"/>
      <c r="RR57" s="93"/>
      <c r="RS57" s="93"/>
      <c r="RT57" s="93"/>
      <c r="RU57" s="93"/>
      <c r="RV57" s="93"/>
      <c r="RW57" s="93"/>
      <c r="RX57" s="93"/>
      <c r="RY57" s="93"/>
      <c r="RZ57" s="93"/>
      <c r="SA57" s="93"/>
      <c r="SB57" s="93"/>
      <c r="SC57" s="93"/>
      <c r="SD57" s="93"/>
      <c r="SE57" s="92"/>
      <c r="SF57" s="92"/>
      <c r="SG57" s="92"/>
      <c r="SH57" s="93"/>
      <c r="SI57" s="93"/>
      <c r="SJ57" s="93"/>
      <c r="SK57" s="93"/>
      <c r="SL57" s="93"/>
      <c r="SM57" s="93"/>
      <c r="SN57" s="93"/>
      <c r="SO57" s="93"/>
      <c r="SP57" s="93"/>
      <c r="SQ57" s="93"/>
      <c r="SR57" s="93"/>
      <c r="SS57" s="93"/>
      <c r="ST57" s="93"/>
      <c r="SU57" s="93"/>
      <c r="SV57" s="93"/>
      <c r="SW57" s="93"/>
      <c r="SX57" s="92"/>
      <c r="SY57" s="93"/>
      <c r="SZ57" s="93"/>
      <c r="TA57" s="93"/>
      <c r="TB57" s="93"/>
      <c r="TC57" s="93"/>
      <c r="TD57" s="93"/>
      <c r="TE57" s="93"/>
      <c r="TF57" s="93"/>
      <c r="TG57" s="93"/>
      <c r="TH57" s="93"/>
      <c r="TI57" s="93"/>
      <c r="TJ57" s="93"/>
      <c r="TK57" s="93"/>
      <c r="TL57" s="93"/>
      <c r="TM57" s="93"/>
      <c r="TN57" s="93"/>
      <c r="TO57" s="93"/>
      <c r="TP57" s="93"/>
      <c r="TQ57" s="93"/>
      <c r="TR57" s="93"/>
      <c r="TS57" s="93"/>
      <c r="TT57" s="93"/>
      <c r="TU57" s="93"/>
      <c r="TV57" s="93"/>
      <c r="TW57" s="92"/>
      <c r="TX57" s="93"/>
      <c r="TY57" s="93"/>
      <c r="TZ57" s="92"/>
      <c r="UA57" s="92"/>
      <c r="UB57" s="93"/>
      <c r="UC57" s="92"/>
      <c r="UD57" s="92"/>
      <c r="UE57" s="92"/>
      <c r="UF57" s="93"/>
      <c r="UG57" s="93"/>
      <c r="UH57" s="93"/>
      <c r="UI57" s="93"/>
      <c r="UJ57" s="93"/>
      <c r="UK57" s="93"/>
      <c r="UL57" s="92"/>
      <c r="UM57" s="92"/>
      <c r="UN57" s="92"/>
      <c r="UO57" s="92"/>
      <c r="UP57" s="93"/>
      <c r="UQ57" s="93"/>
      <c r="UR57" s="93"/>
      <c r="US57" s="93"/>
      <c r="UT57" s="93"/>
      <c r="UU57" s="93"/>
      <c r="UV57" s="93"/>
      <c r="UW57" s="93"/>
      <c r="UX57" s="93"/>
      <c r="UY57" s="92"/>
      <c r="UZ57" s="92"/>
      <c r="VA57" s="92"/>
      <c r="VB57" s="93"/>
      <c r="VC57" s="93"/>
      <c r="VD57" s="93"/>
      <c r="VE57" s="93"/>
      <c r="VF57" s="93"/>
      <c r="VG57" s="93"/>
      <c r="VH57" s="93"/>
      <c r="VI57" s="92"/>
      <c r="VJ57" s="92"/>
      <c r="VK57" s="93"/>
      <c r="VL57" s="93"/>
      <c r="VM57" s="93"/>
      <c r="VN57" s="93"/>
      <c r="VO57" s="93"/>
      <c r="VP57" s="93"/>
      <c r="VQ57" s="93"/>
      <c r="VR57" s="93"/>
      <c r="VS57" s="93"/>
      <c r="VT57" s="93"/>
      <c r="VU57" s="93"/>
      <c r="VV57" s="93"/>
      <c r="VW57" s="93"/>
      <c r="VX57" s="93"/>
      <c r="VY57" s="93"/>
      <c r="VZ57" s="93"/>
      <c r="WA57" s="93"/>
      <c r="WB57" s="93"/>
      <c r="WC57" s="93"/>
      <c r="WD57" s="93"/>
      <c r="WE57" s="93"/>
      <c r="WF57" s="93"/>
      <c r="WG57" s="93"/>
      <c r="WH57" s="93"/>
      <c r="WI57" s="93"/>
      <c r="WJ57" s="93"/>
      <c r="WK57" s="92"/>
      <c r="WL57" s="92"/>
      <c r="WM57" s="93"/>
      <c r="WN57" s="93"/>
      <c r="WO57" s="92"/>
      <c r="ZL57" s="182" t="str">
        <f t="shared" si="1"/>
        <v>CASABLANCA -TOULOUSE</v>
      </c>
      <c r="ZM57" s="183" t="s">
        <v>545</v>
      </c>
      <c r="ZN57" s="182" t="s">
        <v>546</v>
      </c>
      <c r="ZO57" s="182">
        <v>1362</v>
      </c>
      <c r="ZP57" s="198">
        <v>351.39600000000002</v>
      </c>
      <c r="ZQ57" s="92"/>
      <c r="ZR57" s="92"/>
      <c r="ZS57" s="92"/>
      <c r="ZT57" s="92"/>
    </row>
    <row r="58" spans="1:696" ht="43.2">
      <c r="ZL58" s="182" t="str">
        <f t="shared" si="1"/>
        <v>CASABLANCA -MARSEILLE</v>
      </c>
      <c r="ZM58" s="183" t="s">
        <v>545</v>
      </c>
      <c r="ZN58" s="182" t="s">
        <v>547</v>
      </c>
      <c r="ZO58" s="182">
        <v>1560</v>
      </c>
      <c r="ZP58" s="198">
        <v>402.48</v>
      </c>
      <c r="ZQ58" s="92"/>
      <c r="ZR58" s="92"/>
      <c r="ZS58" s="92"/>
      <c r="ZT58" s="92"/>
    </row>
    <row r="59" spans="1:696" s="192" customFormat="1" ht="28.8">
      <c r="A59" s="91"/>
      <c r="B59" s="91"/>
      <c r="C59" s="91"/>
      <c r="D59" s="735">
        <v>2015</v>
      </c>
      <c r="E59" s="194" t="s">
        <v>711</v>
      </c>
      <c r="F59" s="183" t="s">
        <v>718</v>
      </c>
      <c r="G59" s="183" t="s">
        <v>718</v>
      </c>
      <c r="H59" s="183" t="s">
        <v>718</v>
      </c>
      <c r="I59" s="183" t="s">
        <v>718</v>
      </c>
      <c r="J59" s="183" t="s">
        <v>718</v>
      </c>
      <c r="K59" s="183" t="s">
        <v>722</v>
      </c>
      <c r="L59" s="183" t="s">
        <v>722</v>
      </c>
      <c r="M59" s="183" t="s">
        <v>718</v>
      </c>
      <c r="N59" s="183" t="s">
        <v>718</v>
      </c>
      <c r="O59" s="183" t="s">
        <v>722</v>
      </c>
      <c r="P59" s="183" t="s">
        <v>718</v>
      </c>
      <c r="Q59" s="183" t="s">
        <v>718</v>
      </c>
      <c r="R59" s="183" t="s">
        <v>718</v>
      </c>
      <c r="S59" s="183" t="s">
        <v>718</v>
      </c>
      <c r="T59" s="183" t="s">
        <v>718</v>
      </c>
      <c r="U59" s="183" t="s">
        <v>718</v>
      </c>
      <c r="V59" s="183" t="s">
        <v>718</v>
      </c>
      <c r="W59" s="183" t="s">
        <v>718</v>
      </c>
      <c r="X59" s="183" t="s">
        <v>718</v>
      </c>
      <c r="Y59" s="183" t="s">
        <v>718</v>
      </c>
      <c r="Z59" s="183" t="s">
        <v>718</v>
      </c>
      <c r="AA59" s="183" t="s">
        <v>718</v>
      </c>
      <c r="AB59" s="183" t="s">
        <v>718</v>
      </c>
      <c r="AC59" s="183" t="s">
        <v>718</v>
      </c>
      <c r="AD59" s="183" t="s">
        <v>718</v>
      </c>
      <c r="AE59" s="183" t="s">
        <v>598</v>
      </c>
      <c r="AF59" s="183" t="s">
        <v>598</v>
      </c>
      <c r="AG59" s="183" t="s">
        <v>598</v>
      </c>
      <c r="AH59" s="183" t="s">
        <v>718</v>
      </c>
      <c r="AI59" s="183" t="s">
        <v>718</v>
      </c>
      <c r="AJ59" s="183" t="s">
        <v>718</v>
      </c>
      <c r="AK59" s="183" t="s">
        <v>718</v>
      </c>
      <c r="AL59" s="183" t="s">
        <v>718</v>
      </c>
      <c r="AM59" s="183" t="s">
        <v>718</v>
      </c>
      <c r="AN59" s="183" t="s">
        <v>718</v>
      </c>
      <c r="AO59" s="183" t="s">
        <v>718</v>
      </c>
      <c r="AP59" s="183" t="s">
        <v>718</v>
      </c>
      <c r="AQ59" s="183" t="s">
        <v>718</v>
      </c>
      <c r="AR59" s="183" t="s">
        <v>718</v>
      </c>
      <c r="AS59" s="183" t="s">
        <v>718</v>
      </c>
      <c r="AT59" s="183" t="s">
        <v>718</v>
      </c>
      <c r="AU59" s="183" t="s">
        <v>718</v>
      </c>
      <c r="AV59" s="183" t="s">
        <v>718</v>
      </c>
      <c r="AW59" s="183" t="s">
        <v>718</v>
      </c>
      <c r="AX59" s="183" t="s">
        <v>718</v>
      </c>
      <c r="AY59" s="183" t="s">
        <v>718</v>
      </c>
      <c r="AZ59" s="183" t="s">
        <v>718</v>
      </c>
      <c r="BA59" s="183" t="s">
        <v>718</v>
      </c>
      <c r="BB59" s="183" t="s">
        <v>718</v>
      </c>
      <c r="BC59" s="183" t="s">
        <v>718</v>
      </c>
      <c r="BD59" s="183" t="s">
        <v>718</v>
      </c>
      <c r="BE59" s="183" t="s">
        <v>718</v>
      </c>
      <c r="BF59" s="183" t="s">
        <v>718</v>
      </c>
      <c r="BG59" s="183" t="s">
        <v>718</v>
      </c>
      <c r="BH59" s="183" t="s">
        <v>718</v>
      </c>
      <c r="BI59" s="183" t="s">
        <v>718</v>
      </c>
      <c r="BJ59" s="183" t="s">
        <v>718</v>
      </c>
      <c r="BK59" s="183" t="s">
        <v>718</v>
      </c>
      <c r="BL59" s="183" t="s">
        <v>722</v>
      </c>
      <c r="BM59" s="183" t="s">
        <v>718</v>
      </c>
      <c r="BN59" s="183" t="s">
        <v>718</v>
      </c>
      <c r="BO59" s="183" t="s">
        <v>718</v>
      </c>
      <c r="BP59" s="183" t="s">
        <v>718</v>
      </c>
      <c r="BQ59" s="183" t="s">
        <v>718</v>
      </c>
      <c r="BR59" s="183" t="s">
        <v>718</v>
      </c>
      <c r="BS59" s="183" t="s">
        <v>718</v>
      </c>
      <c r="BT59" s="183" t="s">
        <v>718</v>
      </c>
      <c r="BU59" s="183" t="s">
        <v>718</v>
      </c>
      <c r="BV59" s="183" t="s">
        <v>718</v>
      </c>
      <c r="BW59" s="183" t="s">
        <v>723</v>
      </c>
      <c r="BX59" s="183" t="s">
        <v>723</v>
      </c>
      <c r="BY59" s="183" t="s">
        <v>728</v>
      </c>
      <c r="BZ59" s="183" t="s">
        <v>728</v>
      </c>
      <c r="CA59" s="183" t="s">
        <v>728</v>
      </c>
      <c r="CB59" s="183" t="s">
        <v>718</v>
      </c>
      <c r="CC59" s="183" t="s">
        <v>723</v>
      </c>
      <c r="CD59" s="183" t="s">
        <v>723</v>
      </c>
      <c r="CE59" s="183" t="s">
        <v>723</v>
      </c>
      <c r="CF59" s="183" t="s">
        <v>718</v>
      </c>
      <c r="CG59" s="183" t="s">
        <v>718</v>
      </c>
      <c r="CH59" s="183" t="s">
        <v>718</v>
      </c>
      <c r="CI59" s="183" t="s">
        <v>718</v>
      </c>
      <c r="CJ59" s="183" t="s">
        <v>730</v>
      </c>
      <c r="CK59" s="183" t="s">
        <v>730</v>
      </c>
      <c r="CL59" s="183" t="s">
        <v>730</v>
      </c>
      <c r="CM59" s="183" t="s">
        <v>731</v>
      </c>
      <c r="CN59" s="183" t="s">
        <v>731</v>
      </c>
      <c r="CO59" s="183" t="s">
        <v>718</v>
      </c>
      <c r="CP59" s="183" t="s">
        <v>718</v>
      </c>
      <c r="CQ59" s="183" t="s">
        <v>718</v>
      </c>
      <c r="CR59" s="183" t="s">
        <v>718</v>
      </c>
      <c r="CS59" s="183" t="s">
        <v>718</v>
      </c>
      <c r="CT59" s="183" t="s">
        <v>730</v>
      </c>
      <c r="CU59" s="183" t="s">
        <v>727</v>
      </c>
      <c r="CV59" s="183" t="s">
        <v>727</v>
      </c>
      <c r="CW59" s="183" t="s">
        <v>727</v>
      </c>
      <c r="CX59" s="183" t="s">
        <v>727</v>
      </c>
      <c r="CY59" s="183" t="s">
        <v>727</v>
      </c>
      <c r="CZ59" s="183" t="s">
        <v>726</v>
      </c>
      <c r="DA59" s="183" t="s">
        <v>726</v>
      </c>
      <c r="DB59" s="183" t="s">
        <v>726</v>
      </c>
      <c r="DC59" s="183" t="s">
        <v>718</v>
      </c>
      <c r="DD59" s="183" t="s">
        <v>718</v>
      </c>
      <c r="DE59" s="183" t="s">
        <v>718</v>
      </c>
      <c r="DF59" s="183" t="s">
        <v>718</v>
      </c>
      <c r="DG59" s="183" t="s">
        <v>719</v>
      </c>
      <c r="DH59" s="183" t="s">
        <v>718</v>
      </c>
      <c r="DI59" s="183" t="s">
        <v>723</v>
      </c>
      <c r="DJ59" s="183" t="s">
        <v>723</v>
      </c>
      <c r="DK59" s="183" t="s">
        <v>723</v>
      </c>
      <c r="DL59" s="183" t="s">
        <v>735</v>
      </c>
      <c r="DM59" s="183" t="s">
        <v>735</v>
      </c>
      <c r="DN59" s="183" t="s">
        <v>718</v>
      </c>
      <c r="DO59" s="183" t="s">
        <v>718</v>
      </c>
      <c r="DP59" s="183" t="s">
        <v>718</v>
      </c>
      <c r="DQ59" s="183" t="s">
        <v>730</v>
      </c>
      <c r="DR59" s="183" t="s">
        <v>730</v>
      </c>
      <c r="DS59" s="183" t="s">
        <v>730</v>
      </c>
      <c r="DT59" s="183" t="s">
        <v>730</v>
      </c>
      <c r="DU59" s="183" t="s">
        <v>733</v>
      </c>
      <c r="DV59" s="183" t="s">
        <v>718</v>
      </c>
      <c r="DW59" s="183" t="s">
        <v>718</v>
      </c>
      <c r="DX59" s="183" t="s">
        <v>718</v>
      </c>
      <c r="DY59" s="183" t="s">
        <v>718</v>
      </c>
      <c r="DZ59" s="183" t="s">
        <v>742</v>
      </c>
      <c r="EA59" s="183" t="s">
        <v>742</v>
      </c>
      <c r="EB59" s="183" t="s">
        <v>742</v>
      </c>
      <c r="EC59" s="183" t="s">
        <v>742</v>
      </c>
      <c r="ED59" s="183" t="s">
        <v>742</v>
      </c>
      <c r="EE59" s="183" t="s">
        <v>742</v>
      </c>
      <c r="EF59" s="183" t="s">
        <v>742</v>
      </c>
      <c r="EG59" s="183" t="s">
        <v>742</v>
      </c>
      <c r="EH59" s="183" t="s">
        <v>742</v>
      </c>
      <c r="EI59" s="183" t="s">
        <v>742</v>
      </c>
      <c r="EJ59" s="183" t="s">
        <v>742</v>
      </c>
      <c r="EK59" s="183" t="s">
        <v>742</v>
      </c>
      <c r="EL59" s="183" t="s">
        <v>726</v>
      </c>
      <c r="EM59" s="183" t="s">
        <v>726</v>
      </c>
      <c r="EN59" s="183" t="s">
        <v>726</v>
      </c>
      <c r="EO59" s="183" t="s">
        <v>726</v>
      </c>
      <c r="EP59" s="183" t="s">
        <v>718</v>
      </c>
      <c r="EQ59" s="183" t="s">
        <v>718</v>
      </c>
      <c r="ER59" s="183" t="s">
        <v>718</v>
      </c>
      <c r="ES59" s="183" t="s">
        <v>777</v>
      </c>
      <c r="ET59" s="183" t="s">
        <v>777</v>
      </c>
      <c r="EU59" s="183" t="s">
        <v>777</v>
      </c>
      <c r="EV59" s="183" t="s">
        <v>743</v>
      </c>
      <c r="EW59" s="183" t="s">
        <v>743</v>
      </c>
      <c r="EX59" s="183" t="s">
        <v>743</v>
      </c>
      <c r="EY59" s="183" t="s">
        <v>743</v>
      </c>
      <c r="EZ59" s="183" t="s">
        <v>740</v>
      </c>
      <c r="FA59" s="183" t="s">
        <v>747</v>
      </c>
      <c r="FB59" s="183" t="s">
        <v>747</v>
      </c>
      <c r="FC59" s="183" t="s">
        <v>743</v>
      </c>
      <c r="FD59" s="183" t="s">
        <v>743</v>
      </c>
      <c r="FE59" s="183" t="s">
        <v>747</v>
      </c>
      <c r="FF59" s="183" t="s">
        <v>718</v>
      </c>
      <c r="FG59" s="183" t="s">
        <v>718</v>
      </c>
      <c r="FH59" s="183" t="s">
        <v>726</v>
      </c>
      <c r="FI59" s="183" t="s">
        <v>726</v>
      </c>
      <c r="FJ59" s="183" t="s">
        <v>743</v>
      </c>
      <c r="FK59" s="183" t="s">
        <v>743</v>
      </c>
      <c r="FL59" s="183" t="s">
        <v>743</v>
      </c>
      <c r="FM59" s="183" t="s">
        <v>584</v>
      </c>
      <c r="FN59" s="183" t="s">
        <v>584</v>
      </c>
      <c r="FO59" s="183" t="s">
        <v>748</v>
      </c>
      <c r="FP59" s="183" t="s">
        <v>743</v>
      </c>
      <c r="FQ59" s="183" t="s">
        <v>743</v>
      </c>
      <c r="FR59" s="183" t="s">
        <v>781</v>
      </c>
      <c r="FS59" s="183" t="s">
        <v>718</v>
      </c>
      <c r="FT59" s="183" t="s">
        <v>718</v>
      </c>
      <c r="FU59" s="183" t="s">
        <v>718</v>
      </c>
      <c r="FV59" s="183" t="s">
        <v>718</v>
      </c>
      <c r="FW59" s="183" t="s">
        <v>718</v>
      </c>
      <c r="FX59" s="183" t="s">
        <v>718</v>
      </c>
      <c r="FY59" s="183" t="s">
        <v>757</v>
      </c>
      <c r="FZ59" s="183" t="s">
        <v>718</v>
      </c>
      <c r="GA59" s="183" t="s">
        <v>783</v>
      </c>
      <c r="GB59" s="183" t="s">
        <v>722</v>
      </c>
      <c r="GC59" s="183" t="s">
        <v>722</v>
      </c>
      <c r="GD59" s="183" t="s">
        <v>718</v>
      </c>
      <c r="GE59" s="183" t="s">
        <v>714</v>
      </c>
      <c r="GF59" s="183" t="s">
        <v>759</v>
      </c>
      <c r="GG59" s="183" t="s">
        <v>718</v>
      </c>
      <c r="GH59" s="183" t="s">
        <v>714</v>
      </c>
      <c r="GI59" s="183" t="s">
        <v>718</v>
      </c>
      <c r="GJ59" s="183" t="s">
        <v>714</v>
      </c>
      <c r="GK59" s="183" t="s">
        <v>714</v>
      </c>
      <c r="GL59" s="183" t="s">
        <v>714</v>
      </c>
      <c r="GM59" s="183" t="s">
        <v>722</v>
      </c>
      <c r="GN59" s="183" t="s">
        <v>722</v>
      </c>
      <c r="GO59" s="183" t="s">
        <v>716</v>
      </c>
      <c r="GP59" s="183" t="s">
        <v>716</v>
      </c>
      <c r="GQ59" s="183" t="s">
        <v>714</v>
      </c>
      <c r="GR59" s="183" t="s">
        <v>719</v>
      </c>
      <c r="GS59" s="183" t="s">
        <v>719</v>
      </c>
      <c r="GT59" s="183" t="s">
        <v>759</v>
      </c>
      <c r="GU59" s="183" t="s">
        <v>727</v>
      </c>
      <c r="GV59" s="183" t="s">
        <v>727</v>
      </c>
      <c r="GW59" s="183" t="s">
        <v>727</v>
      </c>
      <c r="GX59" s="183" t="s">
        <v>727</v>
      </c>
      <c r="GY59" s="183" t="s">
        <v>727</v>
      </c>
      <c r="GZ59" s="183" t="s">
        <v>727</v>
      </c>
      <c r="HA59" s="183" t="s">
        <v>727</v>
      </c>
      <c r="HB59" s="183" t="s">
        <v>714</v>
      </c>
      <c r="HC59" s="183" t="s">
        <v>714</v>
      </c>
      <c r="HD59" s="183" t="s">
        <v>727</v>
      </c>
      <c r="HE59" s="183" t="s">
        <v>727</v>
      </c>
      <c r="HF59" s="183" t="s">
        <v>727</v>
      </c>
      <c r="HG59" s="183" t="s">
        <v>753</v>
      </c>
      <c r="HH59" s="183" t="s">
        <v>714</v>
      </c>
      <c r="HI59" s="183" t="s">
        <v>770</v>
      </c>
      <c r="HJ59" s="183" t="s">
        <v>779</v>
      </c>
      <c r="HK59" s="183" t="s">
        <v>727</v>
      </c>
      <c r="HL59" s="183" t="s">
        <v>722</v>
      </c>
      <c r="HM59" s="183" t="s">
        <v>722</v>
      </c>
      <c r="HN59" s="183" t="s">
        <v>722</v>
      </c>
      <c r="HO59" s="183" t="s">
        <v>722</v>
      </c>
      <c r="HP59" s="183" t="s">
        <v>727</v>
      </c>
      <c r="HQ59" s="183" t="s">
        <v>727</v>
      </c>
      <c r="HR59" s="183" t="s">
        <v>727</v>
      </c>
      <c r="HS59" s="183" t="s">
        <v>727</v>
      </c>
      <c r="HT59" s="183" t="s">
        <v>718</v>
      </c>
      <c r="HU59" s="183" t="s">
        <v>718</v>
      </c>
      <c r="HV59" s="183" t="s">
        <v>718</v>
      </c>
      <c r="HW59" s="183" t="s">
        <v>729</v>
      </c>
      <c r="HX59" s="183" t="s">
        <v>718</v>
      </c>
      <c r="HY59" s="183" t="s">
        <v>718</v>
      </c>
      <c r="HZ59" s="183" t="s">
        <v>722</v>
      </c>
      <c r="IA59" s="183" t="s">
        <v>718</v>
      </c>
      <c r="IB59" s="183" t="s">
        <v>718</v>
      </c>
      <c r="IC59" s="183" t="s">
        <v>718</v>
      </c>
      <c r="ID59" s="183" t="s">
        <v>768</v>
      </c>
      <c r="IE59" s="183" t="s">
        <v>768</v>
      </c>
      <c r="IF59" s="183" t="s">
        <v>768</v>
      </c>
      <c r="IG59" s="183" t="s">
        <v>768</v>
      </c>
      <c r="IH59" s="183" t="s">
        <v>768</v>
      </c>
      <c r="II59" s="183" t="s">
        <v>768</v>
      </c>
      <c r="IJ59" s="183" t="s">
        <v>729</v>
      </c>
      <c r="IK59" s="183" t="s">
        <v>724</v>
      </c>
      <c r="IL59" s="183" t="s">
        <v>724</v>
      </c>
      <c r="IM59" s="183" t="s">
        <v>724</v>
      </c>
      <c r="IN59" s="183" t="s">
        <v>641</v>
      </c>
      <c r="IO59" s="183" t="s">
        <v>641</v>
      </c>
      <c r="IP59" s="183" t="s">
        <v>714</v>
      </c>
      <c r="IQ59" s="183" t="s">
        <v>763</v>
      </c>
      <c r="IR59" s="183" t="s">
        <v>763</v>
      </c>
      <c r="IS59" s="183" t="s">
        <v>790</v>
      </c>
      <c r="ZL59" s="182" t="str">
        <f t="shared" si="1"/>
        <v>CASABLANCA -PARIS</v>
      </c>
      <c r="ZM59" s="183" t="s">
        <v>545</v>
      </c>
      <c r="ZN59" s="182" t="s">
        <v>526</v>
      </c>
      <c r="ZO59" s="182">
        <v>1880</v>
      </c>
      <c r="ZP59" s="198">
        <v>485.04</v>
      </c>
      <c r="ZQ59" s="193"/>
      <c r="ZR59" s="193"/>
      <c r="ZS59" s="193"/>
      <c r="ZT59" s="193"/>
    </row>
    <row r="60" spans="1:696" s="192" customFormat="1" ht="28.8">
      <c r="A60" s="91"/>
      <c r="B60" s="91"/>
      <c r="C60" s="91"/>
      <c r="D60" s="735"/>
      <c r="E60" s="194" t="s">
        <v>339</v>
      </c>
      <c r="F60" s="183" t="s">
        <v>348</v>
      </c>
      <c r="G60" s="183" t="s">
        <v>348</v>
      </c>
      <c r="H60" s="183" t="s">
        <v>348</v>
      </c>
      <c r="I60" s="183" t="s">
        <v>348</v>
      </c>
      <c r="J60" s="183" t="s">
        <v>348</v>
      </c>
      <c r="K60" s="183" t="s">
        <v>343</v>
      </c>
      <c r="L60" s="183" t="s">
        <v>343</v>
      </c>
      <c r="M60" s="183" t="s">
        <v>356</v>
      </c>
      <c r="N60" s="183" t="s">
        <v>356</v>
      </c>
      <c r="O60" s="183" t="s">
        <v>343</v>
      </c>
      <c r="P60" s="183" t="s">
        <v>348</v>
      </c>
      <c r="Q60" s="183" t="s">
        <v>348</v>
      </c>
      <c r="R60" s="183" t="s">
        <v>348</v>
      </c>
      <c r="S60" s="183" t="s">
        <v>348</v>
      </c>
      <c r="T60" s="183" t="s">
        <v>348</v>
      </c>
      <c r="U60" s="183" t="s">
        <v>348</v>
      </c>
      <c r="V60" s="183" t="s">
        <v>348</v>
      </c>
      <c r="W60" s="183" t="s">
        <v>348</v>
      </c>
      <c r="X60" s="183" t="s">
        <v>348</v>
      </c>
      <c r="Y60" s="183" t="s">
        <v>348</v>
      </c>
      <c r="Z60" s="183" t="s">
        <v>348</v>
      </c>
      <c r="AA60" s="183" t="s">
        <v>348</v>
      </c>
      <c r="AB60" s="183" t="s">
        <v>348</v>
      </c>
      <c r="AC60" s="183" t="s">
        <v>348</v>
      </c>
      <c r="AD60" s="183" t="s">
        <v>356</v>
      </c>
      <c r="AE60" s="183" t="s">
        <v>356</v>
      </c>
      <c r="AF60" s="183" t="s">
        <v>356</v>
      </c>
      <c r="AG60" s="183" t="s">
        <v>356</v>
      </c>
      <c r="AH60" s="183" t="s">
        <v>348</v>
      </c>
      <c r="AI60" s="183" t="s">
        <v>356</v>
      </c>
      <c r="AJ60" s="183" t="s">
        <v>348</v>
      </c>
      <c r="AK60" s="183" t="s">
        <v>348</v>
      </c>
      <c r="AL60" s="183" t="s">
        <v>348</v>
      </c>
      <c r="AM60" s="183" t="s">
        <v>348</v>
      </c>
      <c r="AN60" s="183" t="s">
        <v>348</v>
      </c>
      <c r="AO60" s="183" t="s">
        <v>348</v>
      </c>
      <c r="AP60" s="183" t="s">
        <v>348</v>
      </c>
      <c r="AQ60" s="183" t="s">
        <v>348</v>
      </c>
      <c r="AR60" s="183" t="s">
        <v>348</v>
      </c>
      <c r="AS60" s="183" t="s">
        <v>348</v>
      </c>
      <c r="AT60" s="183" t="s">
        <v>348</v>
      </c>
      <c r="AU60" s="183" t="s">
        <v>348</v>
      </c>
      <c r="AV60" s="183" t="s">
        <v>348</v>
      </c>
      <c r="AW60" s="183" t="s">
        <v>348</v>
      </c>
      <c r="AX60" s="183" t="s">
        <v>348</v>
      </c>
      <c r="AY60" s="183" t="s">
        <v>348</v>
      </c>
      <c r="AZ60" s="183" t="s">
        <v>348</v>
      </c>
      <c r="BA60" s="183" t="s">
        <v>348</v>
      </c>
      <c r="BB60" s="183" t="s">
        <v>348</v>
      </c>
      <c r="BC60" s="183" t="s">
        <v>348</v>
      </c>
      <c r="BD60" s="183" t="s">
        <v>348</v>
      </c>
      <c r="BE60" s="183" t="s">
        <v>348</v>
      </c>
      <c r="BF60" s="183" t="s">
        <v>348</v>
      </c>
      <c r="BG60" s="183" t="s">
        <v>348</v>
      </c>
      <c r="BH60" s="183" t="s">
        <v>348</v>
      </c>
      <c r="BI60" s="183" t="s">
        <v>348</v>
      </c>
      <c r="BJ60" s="183" t="s">
        <v>348</v>
      </c>
      <c r="BK60" s="183" t="s">
        <v>348</v>
      </c>
      <c r="BL60" s="183" t="s">
        <v>343</v>
      </c>
      <c r="BM60" s="183" t="s">
        <v>356</v>
      </c>
      <c r="BN60" s="183" t="s">
        <v>348</v>
      </c>
      <c r="BO60" s="183" t="s">
        <v>348</v>
      </c>
      <c r="BP60" s="183" t="s">
        <v>348</v>
      </c>
      <c r="BQ60" s="183" t="s">
        <v>348</v>
      </c>
      <c r="BR60" s="183" t="s">
        <v>348</v>
      </c>
      <c r="BS60" s="183" t="s">
        <v>348</v>
      </c>
      <c r="BT60" s="183" t="s">
        <v>348</v>
      </c>
      <c r="BU60" s="183" t="s">
        <v>348</v>
      </c>
      <c r="BV60" s="183" t="s">
        <v>348</v>
      </c>
      <c r="BW60" s="183" t="s">
        <v>356</v>
      </c>
      <c r="BX60" s="183" t="s">
        <v>356</v>
      </c>
      <c r="BY60" s="183" t="s">
        <v>356</v>
      </c>
      <c r="BZ60" s="183" t="s">
        <v>356</v>
      </c>
      <c r="CA60" s="183" t="s">
        <v>356</v>
      </c>
      <c r="CB60" s="183" t="s">
        <v>348</v>
      </c>
      <c r="CC60" s="183" t="s">
        <v>356</v>
      </c>
      <c r="CD60" s="183" t="s">
        <v>356</v>
      </c>
      <c r="CE60" s="183" t="s">
        <v>356</v>
      </c>
      <c r="CF60" s="183" t="s">
        <v>348</v>
      </c>
      <c r="CG60" s="183" t="s">
        <v>348</v>
      </c>
      <c r="CH60" s="183" t="s">
        <v>348</v>
      </c>
      <c r="CI60" s="183" t="s">
        <v>356</v>
      </c>
      <c r="CJ60" s="183" t="s">
        <v>356</v>
      </c>
      <c r="CK60" s="183" t="s">
        <v>356</v>
      </c>
      <c r="CL60" s="183" t="s">
        <v>356</v>
      </c>
      <c r="CM60" s="183" t="s">
        <v>356</v>
      </c>
      <c r="CN60" s="183" t="s">
        <v>356</v>
      </c>
      <c r="CO60" s="183" t="s">
        <v>348</v>
      </c>
      <c r="CP60" s="183" t="s">
        <v>348</v>
      </c>
      <c r="CQ60" s="183" t="s">
        <v>348</v>
      </c>
      <c r="CR60" s="183" t="s">
        <v>348</v>
      </c>
      <c r="CS60" s="183" t="s">
        <v>343</v>
      </c>
      <c r="CT60" s="183" t="s">
        <v>356</v>
      </c>
      <c r="CU60" s="183" t="s">
        <v>343</v>
      </c>
      <c r="CV60" s="183" t="s">
        <v>343</v>
      </c>
      <c r="CW60" s="183" t="s">
        <v>343</v>
      </c>
      <c r="CX60" s="183" t="s">
        <v>343</v>
      </c>
      <c r="CY60" s="183" t="s">
        <v>343</v>
      </c>
      <c r="CZ60" s="183" t="s">
        <v>356</v>
      </c>
      <c r="DA60" s="183" t="s">
        <v>356</v>
      </c>
      <c r="DB60" s="183" t="s">
        <v>356</v>
      </c>
      <c r="DC60" s="183" t="s">
        <v>356</v>
      </c>
      <c r="DD60" s="183" t="s">
        <v>356</v>
      </c>
      <c r="DE60" s="183" t="s">
        <v>348</v>
      </c>
      <c r="DF60" s="183" t="s">
        <v>356</v>
      </c>
      <c r="DG60" s="183" t="s">
        <v>356</v>
      </c>
      <c r="DH60" s="183" t="s">
        <v>343</v>
      </c>
      <c r="DI60" s="183" t="s">
        <v>356</v>
      </c>
      <c r="DJ60" s="183" t="s">
        <v>356</v>
      </c>
      <c r="DK60" s="183" t="s">
        <v>356</v>
      </c>
      <c r="DL60" s="183" t="s">
        <v>343</v>
      </c>
      <c r="DM60" s="183" t="s">
        <v>343</v>
      </c>
      <c r="DN60" s="183" t="s">
        <v>356</v>
      </c>
      <c r="DO60" s="183" t="s">
        <v>356</v>
      </c>
      <c r="DP60" s="183" t="s">
        <v>356</v>
      </c>
      <c r="DQ60" s="183" t="s">
        <v>356</v>
      </c>
      <c r="DR60" s="183" t="s">
        <v>356</v>
      </c>
      <c r="DS60" s="183" t="s">
        <v>356</v>
      </c>
      <c r="DT60" s="183" t="s">
        <v>356</v>
      </c>
      <c r="DU60" s="183" t="s">
        <v>356</v>
      </c>
      <c r="DV60" s="183" t="s">
        <v>356</v>
      </c>
      <c r="DW60" s="183" t="s">
        <v>356</v>
      </c>
      <c r="DX60" s="183" t="s">
        <v>356</v>
      </c>
      <c r="DY60" s="183" t="s">
        <v>356</v>
      </c>
      <c r="DZ60" s="183" t="s">
        <v>356</v>
      </c>
      <c r="EA60" s="183" t="s">
        <v>356</v>
      </c>
      <c r="EB60" s="183" t="s">
        <v>356</v>
      </c>
      <c r="EC60" s="183" t="s">
        <v>356</v>
      </c>
      <c r="ED60" s="183" t="s">
        <v>356</v>
      </c>
      <c r="EE60" s="183" t="s">
        <v>356</v>
      </c>
      <c r="EF60" s="183" t="s">
        <v>356</v>
      </c>
      <c r="EG60" s="183" t="s">
        <v>356</v>
      </c>
      <c r="EH60" s="183" t="s">
        <v>356</v>
      </c>
      <c r="EI60" s="183" t="s">
        <v>356</v>
      </c>
      <c r="EJ60" s="183" t="s">
        <v>356</v>
      </c>
      <c r="EK60" s="183" t="s">
        <v>356</v>
      </c>
      <c r="EL60" s="183" t="s">
        <v>356</v>
      </c>
      <c r="EM60" s="183" t="s">
        <v>356</v>
      </c>
      <c r="EN60" s="183" t="s">
        <v>356</v>
      </c>
      <c r="EO60" s="183" t="s">
        <v>356</v>
      </c>
      <c r="EP60" s="183" t="s">
        <v>343</v>
      </c>
      <c r="EQ60" s="183" t="s">
        <v>343</v>
      </c>
      <c r="ER60" s="183" t="s">
        <v>343</v>
      </c>
      <c r="ES60" s="183" t="s">
        <v>343</v>
      </c>
      <c r="ET60" s="183" t="s">
        <v>343</v>
      </c>
      <c r="EU60" s="183" t="s">
        <v>343</v>
      </c>
      <c r="EV60" s="183" t="s">
        <v>343</v>
      </c>
      <c r="EW60" s="183" t="s">
        <v>343</v>
      </c>
      <c r="EX60" s="183" t="s">
        <v>343</v>
      </c>
      <c r="EY60" s="183" t="s">
        <v>343</v>
      </c>
      <c r="EZ60" s="183" t="s">
        <v>356</v>
      </c>
      <c r="FA60" s="183" t="s">
        <v>356</v>
      </c>
      <c r="FB60" s="183" t="s">
        <v>356</v>
      </c>
      <c r="FC60" s="183" t="s">
        <v>343</v>
      </c>
      <c r="FD60" s="183" t="s">
        <v>343</v>
      </c>
      <c r="FE60" s="183" t="s">
        <v>356</v>
      </c>
      <c r="FF60" s="183" t="s">
        <v>343</v>
      </c>
      <c r="FG60" s="183" t="s">
        <v>343</v>
      </c>
      <c r="FH60" s="183" t="s">
        <v>356</v>
      </c>
      <c r="FI60" s="183" t="s">
        <v>356</v>
      </c>
      <c r="FJ60" s="183" t="s">
        <v>343</v>
      </c>
      <c r="FK60" s="183" t="s">
        <v>343</v>
      </c>
      <c r="FL60" s="183" t="s">
        <v>343</v>
      </c>
      <c r="FM60" s="183" t="s">
        <v>343</v>
      </c>
      <c r="FN60" s="183" t="s">
        <v>343</v>
      </c>
      <c r="FO60" s="183" t="s">
        <v>356</v>
      </c>
      <c r="FP60" s="183" t="s">
        <v>343</v>
      </c>
      <c r="FQ60" s="183" t="s">
        <v>343</v>
      </c>
      <c r="FR60" s="183" t="s">
        <v>356</v>
      </c>
      <c r="FS60" s="183" t="s">
        <v>343</v>
      </c>
      <c r="FT60" s="183" t="s">
        <v>343</v>
      </c>
      <c r="FU60" s="183" t="s">
        <v>343</v>
      </c>
      <c r="FV60" s="183" t="s">
        <v>343</v>
      </c>
      <c r="FW60" s="183" t="s">
        <v>343</v>
      </c>
      <c r="FX60" s="183" t="s">
        <v>343</v>
      </c>
      <c r="FY60" s="183" t="s">
        <v>343</v>
      </c>
      <c r="FZ60" s="183" t="s">
        <v>343</v>
      </c>
      <c r="GA60" s="183" t="s">
        <v>343</v>
      </c>
      <c r="GB60" s="183" t="s">
        <v>343</v>
      </c>
      <c r="GC60" s="183" t="s">
        <v>343</v>
      </c>
      <c r="GD60" s="183" t="s">
        <v>343</v>
      </c>
      <c r="GE60" s="183" t="s">
        <v>343</v>
      </c>
      <c r="GF60" s="183" t="s">
        <v>343</v>
      </c>
      <c r="GG60" s="183" t="s">
        <v>343</v>
      </c>
      <c r="GH60" s="183" t="s">
        <v>343</v>
      </c>
      <c r="GI60" s="183" t="s">
        <v>343</v>
      </c>
      <c r="GJ60" s="183" t="s">
        <v>343</v>
      </c>
      <c r="GK60" s="183" t="s">
        <v>343</v>
      </c>
      <c r="GL60" s="183" t="s">
        <v>343</v>
      </c>
      <c r="GM60" s="183" t="s">
        <v>343</v>
      </c>
      <c r="GN60" s="183" t="s">
        <v>343</v>
      </c>
      <c r="GO60" s="183" t="s">
        <v>343</v>
      </c>
      <c r="GP60" s="183" t="s">
        <v>343</v>
      </c>
      <c r="GQ60" s="183" t="s">
        <v>343</v>
      </c>
      <c r="GR60" s="183" t="s">
        <v>356</v>
      </c>
      <c r="GS60" s="183" t="s">
        <v>356</v>
      </c>
      <c r="GT60" s="183" t="s">
        <v>343</v>
      </c>
      <c r="GU60" s="183" t="s">
        <v>343</v>
      </c>
      <c r="GV60" s="183" t="s">
        <v>343</v>
      </c>
      <c r="GW60" s="183" t="s">
        <v>343</v>
      </c>
      <c r="GX60" s="183" t="s">
        <v>343</v>
      </c>
      <c r="GY60" s="183" t="s">
        <v>343</v>
      </c>
      <c r="GZ60" s="183" t="s">
        <v>343</v>
      </c>
      <c r="HA60" s="183" t="s">
        <v>343</v>
      </c>
      <c r="HB60" s="183" t="s">
        <v>343</v>
      </c>
      <c r="HC60" s="183" t="s">
        <v>343</v>
      </c>
      <c r="HD60" s="183" t="s">
        <v>343</v>
      </c>
      <c r="HE60" s="183" t="s">
        <v>343</v>
      </c>
      <c r="HF60" s="183" t="s">
        <v>343</v>
      </c>
      <c r="HG60" s="183" t="s">
        <v>343</v>
      </c>
      <c r="HH60" s="183" t="s">
        <v>343</v>
      </c>
      <c r="HI60" s="183" t="s">
        <v>343</v>
      </c>
      <c r="HJ60" s="183" t="s">
        <v>343</v>
      </c>
      <c r="HK60" s="183" t="s">
        <v>343</v>
      </c>
      <c r="HL60" s="183" t="s">
        <v>343</v>
      </c>
      <c r="HM60" s="183" t="s">
        <v>343</v>
      </c>
      <c r="HN60" s="183" t="s">
        <v>343</v>
      </c>
      <c r="HO60" s="183" t="s">
        <v>343</v>
      </c>
      <c r="HP60" s="183" t="s">
        <v>343</v>
      </c>
      <c r="HQ60" s="183" t="s">
        <v>343</v>
      </c>
      <c r="HR60" s="183" t="s">
        <v>343</v>
      </c>
      <c r="HS60" s="183" t="s">
        <v>343</v>
      </c>
      <c r="HT60" s="183" t="s">
        <v>343</v>
      </c>
      <c r="HU60" s="183" t="s">
        <v>343</v>
      </c>
      <c r="HV60" s="183" t="s">
        <v>343</v>
      </c>
      <c r="HW60" s="183" t="s">
        <v>343</v>
      </c>
      <c r="HX60" s="183" t="s">
        <v>343</v>
      </c>
      <c r="HY60" s="183" t="s">
        <v>343</v>
      </c>
      <c r="HZ60" s="183" t="s">
        <v>343</v>
      </c>
      <c r="IA60" s="183" t="s">
        <v>343</v>
      </c>
      <c r="IB60" s="183" t="s">
        <v>343</v>
      </c>
      <c r="IC60" s="183" t="s">
        <v>343</v>
      </c>
      <c r="ID60" s="183" t="s">
        <v>343</v>
      </c>
      <c r="IE60" s="183" t="s">
        <v>343</v>
      </c>
      <c r="IF60" s="183" t="s">
        <v>343</v>
      </c>
      <c r="IG60" s="183" t="s">
        <v>343</v>
      </c>
      <c r="IH60" s="183" t="s">
        <v>343</v>
      </c>
      <c r="II60" s="183" t="s">
        <v>343</v>
      </c>
      <c r="IJ60" s="183" t="s">
        <v>343</v>
      </c>
      <c r="IK60" s="183" t="s">
        <v>343</v>
      </c>
      <c r="IL60" s="183" t="s">
        <v>343</v>
      </c>
      <c r="IM60" s="183" t="s">
        <v>343</v>
      </c>
      <c r="IN60" s="183" t="s">
        <v>343</v>
      </c>
      <c r="IO60" s="183" t="s">
        <v>343</v>
      </c>
      <c r="IP60" s="183" t="s">
        <v>343</v>
      </c>
      <c r="IQ60" s="183" t="s">
        <v>343</v>
      </c>
      <c r="IR60" s="183" t="s">
        <v>343</v>
      </c>
      <c r="IS60" s="183" t="s">
        <v>343</v>
      </c>
      <c r="ZL60" s="182" t="str">
        <f t="shared" si="1"/>
        <v>CASABLANCA -LYON</v>
      </c>
      <c r="ZM60" s="183" t="s">
        <v>545</v>
      </c>
      <c r="ZN60" s="182" t="s">
        <v>517</v>
      </c>
      <c r="ZO60" s="182">
        <v>2114</v>
      </c>
      <c r="ZP60" s="198">
        <v>441.82599999999996</v>
      </c>
      <c r="ZQ60" s="193"/>
      <c r="ZR60" s="193"/>
      <c r="ZS60" s="193"/>
      <c r="ZT60" s="193"/>
    </row>
    <row r="61" spans="1:696" s="192" customFormat="1" ht="28.8">
      <c r="A61" s="91"/>
      <c r="B61" s="91"/>
      <c r="C61" s="91"/>
      <c r="D61" s="735"/>
      <c r="E61" s="189" t="s">
        <v>514</v>
      </c>
      <c r="F61" s="182" t="s">
        <v>517</v>
      </c>
      <c r="G61" s="182" t="s">
        <v>517</v>
      </c>
      <c r="H61" s="182" t="s">
        <v>517</v>
      </c>
      <c r="I61" s="182" t="s">
        <v>517</v>
      </c>
      <c r="J61" s="182" t="s">
        <v>620</v>
      </c>
      <c r="K61" s="182" t="s">
        <v>555</v>
      </c>
      <c r="L61" s="182" t="s">
        <v>587</v>
      </c>
      <c r="M61" s="182" t="s">
        <v>596</v>
      </c>
      <c r="N61" s="182" t="s">
        <v>596</v>
      </c>
      <c r="O61" s="182" t="s">
        <v>587</v>
      </c>
      <c r="P61" s="182" t="s">
        <v>517</v>
      </c>
      <c r="Q61" s="182" t="s">
        <v>517</v>
      </c>
      <c r="R61" s="182" t="s">
        <v>517</v>
      </c>
      <c r="S61" s="182" t="s">
        <v>546</v>
      </c>
      <c r="T61" s="182" t="s">
        <v>546</v>
      </c>
      <c r="U61" s="182" t="s">
        <v>546</v>
      </c>
      <c r="V61" s="182" t="s">
        <v>517</v>
      </c>
      <c r="W61" s="182" t="s">
        <v>546</v>
      </c>
      <c r="X61" s="182" t="s">
        <v>546</v>
      </c>
      <c r="Y61" s="182" t="s">
        <v>526</v>
      </c>
      <c r="Z61" s="182" t="s">
        <v>517</v>
      </c>
      <c r="AA61" s="182" t="s">
        <v>517</v>
      </c>
      <c r="AB61" s="182" t="s">
        <v>517</v>
      </c>
      <c r="AC61" s="182" t="s">
        <v>517</v>
      </c>
      <c r="AD61" s="182" t="s">
        <v>598</v>
      </c>
      <c r="AE61" s="182" t="s">
        <v>517</v>
      </c>
      <c r="AF61" s="182" t="s">
        <v>517</v>
      </c>
      <c r="AG61" s="182" t="s">
        <v>517</v>
      </c>
      <c r="AH61" s="182" t="s">
        <v>670</v>
      </c>
      <c r="AI61" s="182" t="s">
        <v>624</v>
      </c>
      <c r="AJ61" s="182" t="s">
        <v>517</v>
      </c>
      <c r="AK61" s="182" t="s">
        <v>517</v>
      </c>
      <c r="AL61" s="182" t="s">
        <v>517</v>
      </c>
      <c r="AM61" s="182" t="s">
        <v>517</v>
      </c>
      <c r="AN61" s="182" t="s">
        <v>573</v>
      </c>
      <c r="AO61" s="182" t="s">
        <v>517</v>
      </c>
      <c r="AP61" s="182" t="s">
        <v>517</v>
      </c>
      <c r="AQ61" s="182" t="s">
        <v>517</v>
      </c>
      <c r="AR61" s="182" t="s">
        <v>517</v>
      </c>
      <c r="AS61" s="182" t="s">
        <v>517</v>
      </c>
      <c r="AT61" s="182" t="s">
        <v>517</v>
      </c>
      <c r="AU61" s="182" t="s">
        <v>517</v>
      </c>
      <c r="AV61" s="182" t="s">
        <v>517</v>
      </c>
      <c r="AW61" s="182" t="s">
        <v>573</v>
      </c>
      <c r="AX61" s="182" t="s">
        <v>573</v>
      </c>
      <c r="AY61" s="182" t="s">
        <v>573</v>
      </c>
      <c r="AZ61" s="182" t="s">
        <v>573</v>
      </c>
      <c r="BA61" s="182" t="s">
        <v>517</v>
      </c>
      <c r="BB61" s="182" t="s">
        <v>517</v>
      </c>
      <c r="BC61" s="182" t="s">
        <v>517</v>
      </c>
      <c r="BD61" s="182" t="s">
        <v>517</v>
      </c>
      <c r="BE61" s="182" t="s">
        <v>573</v>
      </c>
      <c r="BF61" s="182" t="s">
        <v>573</v>
      </c>
      <c r="BG61" s="182" t="s">
        <v>573</v>
      </c>
      <c r="BH61" s="182" t="s">
        <v>573</v>
      </c>
      <c r="BI61" s="182" t="s">
        <v>573</v>
      </c>
      <c r="BJ61" s="182" t="s">
        <v>573</v>
      </c>
      <c r="BK61" s="182" t="s">
        <v>573</v>
      </c>
      <c r="BL61" s="182" t="s">
        <v>587</v>
      </c>
      <c r="BM61" s="182" t="s">
        <v>560</v>
      </c>
      <c r="BN61" s="182" t="s">
        <v>590</v>
      </c>
      <c r="BO61" s="182" t="s">
        <v>623</v>
      </c>
      <c r="BP61" s="182" t="s">
        <v>517</v>
      </c>
      <c r="BQ61" s="182" t="s">
        <v>517</v>
      </c>
      <c r="BR61" s="182" t="s">
        <v>517</v>
      </c>
      <c r="BS61" s="182" t="s">
        <v>517</v>
      </c>
      <c r="BT61" s="182" t="s">
        <v>517</v>
      </c>
      <c r="BU61" s="182" t="s">
        <v>517</v>
      </c>
      <c r="BV61" s="182" t="s">
        <v>517</v>
      </c>
      <c r="BW61" s="182" t="s">
        <v>517</v>
      </c>
      <c r="BX61" s="182" t="s">
        <v>517</v>
      </c>
      <c r="BY61" s="182" t="s">
        <v>517</v>
      </c>
      <c r="BZ61" s="182" t="s">
        <v>517</v>
      </c>
      <c r="CA61" s="182" t="s">
        <v>517</v>
      </c>
      <c r="CB61" s="182" t="s">
        <v>537</v>
      </c>
      <c r="CC61" s="182" t="s">
        <v>517</v>
      </c>
      <c r="CD61" s="182" t="s">
        <v>517</v>
      </c>
      <c r="CE61" s="182" t="s">
        <v>517</v>
      </c>
      <c r="CF61" s="182" t="s">
        <v>517</v>
      </c>
      <c r="CG61" s="182" t="s">
        <v>517</v>
      </c>
      <c r="CH61" s="182" t="s">
        <v>517</v>
      </c>
      <c r="CI61" s="182" t="s">
        <v>520</v>
      </c>
      <c r="CJ61" s="182" t="s">
        <v>517</v>
      </c>
      <c r="CK61" s="182" t="s">
        <v>517</v>
      </c>
      <c r="CL61" s="182" t="s">
        <v>517</v>
      </c>
      <c r="CM61" s="182" t="s">
        <v>517</v>
      </c>
      <c r="CN61" s="182" t="s">
        <v>517</v>
      </c>
      <c r="CO61" s="182" t="s">
        <v>517</v>
      </c>
      <c r="CP61" s="182" t="s">
        <v>536</v>
      </c>
      <c r="CQ61" s="182" t="s">
        <v>621</v>
      </c>
      <c r="CR61" s="182" t="s">
        <v>621</v>
      </c>
      <c r="CS61" s="182" t="s">
        <v>645</v>
      </c>
      <c r="CT61" s="182" t="s">
        <v>526</v>
      </c>
      <c r="CU61" s="182" t="s">
        <v>607</v>
      </c>
      <c r="CV61" s="182" t="s">
        <v>607</v>
      </c>
      <c r="CW61" s="182" t="s">
        <v>607</v>
      </c>
      <c r="CX61" s="182" t="s">
        <v>607</v>
      </c>
      <c r="CY61" s="182" t="s">
        <v>607</v>
      </c>
      <c r="CZ61" s="182" t="s">
        <v>517</v>
      </c>
      <c r="DA61" s="182" t="s">
        <v>517</v>
      </c>
      <c r="DB61" s="182" t="s">
        <v>517</v>
      </c>
      <c r="DC61" s="182" t="s">
        <v>542</v>
      </c>
      <c r="DD61" s="182" t="s">
        <v>542</v>
      </c>
      <c r="DE61" s="182" t="s">
        <v>573</v>
      </c>
      <c r="DF61" s="182" t="s">
        <v>674</v>
      </c>
      <c r="DG61" s="182" t="s">
        <v>517</v>
      </c>
      <c r="DH61" s="182" t="s">
        <v>780</v>
      </c>
      <c r="DI61" s="182" t="s">
        <v>517</v>
      </c>
      <c r="DJ61" s="182" t="s">
        <v>517</v>
      </c>
      <c r="DK61" s="182" t="s">
        <v>517</v>
      </c>
      <c r="DL61" s="182" t="s">
        <v>517</v>
      </c>
      <c r="DM61" s="182" t="s">
        <v>517</v>
      </c>
      <c r="DN61" s="182" t="s">
        <v>624</v>
      </c>
      <c r="DO61" s="182" t="s">
        <v>624</v>
      </c>
      <c r="DP61" s="182" t="s">
        <v>624</v>
      </c>
      <c r="DQ61" s="182" t="s">
        <v>517</v>
      </c>
      <c r="DR61" s="182" t="s">
        <v>517</v>
      </c>
      <c r="DS61" s="182" t="s">
        <v>517</v>
      </c>
      <c r="DT61" s="182" t="s">
        <v>517</v>
      </c>
      <c r="DU61" s="182" t="s">
        <v>517</v>
      </c>
      <c r="DV61" s="182" t="s">
        <v>556</v>
      </c>
      <c r="DW61" s="182" t="s">
        <v>519</v>
      </c>
      <c r="DX61" s="182" t="s">
        <v>519</v>
      </c>
      <c r="DY61" s="182" t="s">
        <v>519</v>
      </c>
      <c r="DZ61" s="182" t="s">
        <v>517</v>
      </c>
      <c r="EA61" s="182" t="s">
        <v>517</v>
      </c>
      <c r="EB61" s="182" t="s">
        <v>517</v>
      </c>
      <c r="EC61" s="182" t="s">
        <v>517</v>
      </c>
      <c r="ED61" s="182" t="s">
        <v>517</v>
      </c>
      <c r="EE61" s="182" t="s">
        <v>517</v>
      </c>
      <c r="EF61" s="182" t="s">
        <v>517</v>
      </c>
      <c r="EG61" s="182" t="s">
        <v>517</v>
      </c>
      <c r="EH61" s="182" t="s">
        <v>517</v>
      </c>
      <c r="EI61" s="182" t="s">
        <v>517</v>
      </c>
      <c r="EJ61" s="182" t="s">
        <v>517</v>
      </c>
      <c r="EK61" s="182" t="s">
        <v>517</v>
      </c>
      <c r="EL61" s="182" t="s">
        <v>567</v>
      </c>
      <c r="EM61" s="182" t="s">
        <v>567</v>
      </c>
      <c r="EN61" s="182" t="s">
        <v>567</v>
      </c>
      <c r="EO61" s="182" t="s">
        <v>567</v>
      </c>
      <c r="EP61" s="182" t="s">
        <v>645</v>
      </c>
      <c r="EQ61" s="182" t="s">
        <v>645</v>
      </c>
      <c r="ER61" s="182" t="s">
        <v>645</v>
      </c>
      <c r="ES61" s="182" t="s">
        <v>517</v>
      </c>
      <c r="ET61" s="182" t="s">
        <v>517</v>
      </c>
      <c r="EU61" s="182" t="s">
        <v>517</v>
      </c>
      <c r="EV61" s="182" t="s">
        <v>546</v>
      </c>
      <c r="EW61" s="182" t="s">
        <v>547</v>
      </c>
      <c r="EX61" s="182" t="s">
        <v>547</v>
      </c>
      <c r="EY61" s="182" t="s">
        <v>547</v>
      </c>
      <c r="EZ61" s="182" t="s">
        <v>517</v>
      </c>
      <c r="FA61" s="182" t="s">
        <v>517</v>
      </c>
      <c r="FB61" s="182" t="s">
        <v>517</v>
      </c>
      <c r="FC61" s="182" t="s">
        <v>559</v>
      </c>
      <c r="FD61" s="182" t="s">
        <v>559</v>
      </c>
      <c r="FE61" s="182" t="s">
        <v>517</v>
      </c>
      <c r="FF61" s="182" t="s">
        <v>632</v>
      </c>
      <c r="FG61" s="182" t="s">
        <v>632</v>
      </c>
      <c r="FH61" s="182" t="s">
        <v>590</v>
      </c>
      <c r="FI61" s="182" t="s">
        <v>590</v>
      </c>
      <c r="FJ61" s="182" t="s">
        <v>526</v>
      </c>
      <c r="FK61" s="182" t="s">
        <v>526</v>
      </c>
      <c r="FL61" s="182" t="s">
        <v>590</v>
      </c>
      <c r="FM61" s="182" t="s">
        <v>607</v>
      </c>
      <c r="FN61" s="182" t="s">
        <v>607</v>
      </c>
      <c r="FO61" s="182" t="s">
        <v>517</v>
      </c>
      <c r="FP61" s="182" t="s">
        <v>517</v>
      </c>
      <c r="FQ61" s="182" t="s">
        <v>517</v>
      </c>
      <c r="FR61" s="182" t="s">
        <v>517</v>
      </c>
      <c r="FS61" s="182" t="s">
        <v>658</v>
      </c>
      <c r="FT61" s="182" t="s">
        <v>658</v>
      </c>
      <c r="FU61" s="182" t="s">
        <v>658</v>
      </c>
      <c r="FV61" s="182" t="s">
        <v>644</v>
      </c>
      <c r="FW61" s="182" t="s">
        <v>644</v>
      </c>
      <c r="FX61" s="182" t="s">
        <v>644</v>
      </c>
      <c r="FY61" s="182" t="s">
        <v>517</v>
      </c>
      <c r="FZ61" s="182" t="s">
        <v>782</v>
      </c>
      <c r="GA61" s="182" t="s">
        <v>517</v>
      </c>
      <c r="GB61" s="182" t="s">
        <v>532</v>
      </c>
      <c r="GC61" s="182" t="s">
        <v>532</v>
      </c>
      <c r="GD61" s="182" t="s">
        <v>785</v>
      </c>
      <c r="GE61" s="182" t="s">
        <v>517</v>
      </c>
      <c r="GF61" s="182" t="s">
        <v>517</v>
      </c>
      <c r="GG61" s="182" t="s">
        <v>605</v>
      </c>
      <c r="GH61" s="182" t="s">
        <v>517</v>
      </c>
      <c r="GI61" s="182" t="s">
        <v>605</v>
      </c>
      <c r="GJ61" s="182" t="s">
        <v>517</v>
      </c>
      <c r="GK61" s="182" t="s">
        <v>517</v>
      </c>
      <c r="GL61" s="182" t="s">
        <v>517</v>
      </c>
      <c r="GM61" s="182" t="s">
        <v>517</v>
      </c>
      <c r="GN61" s="182" t="s">
        <v>517</v>
      </c>
      <c r="GO61" s="182" t="s">
        <v>517</v>
      </c>
      <c r="GP61" s="182" t="s">
        <v>517</v>
      </c>
      <c r="GQ61" s="182" t="s">
        <v>517</v>
      </c>
      <c r="GR61" s="182" t="s">
        <v>541</v>
      </c>
      <c r="GS61" s="182" t="s">
        <v>541</v>
      </c>
      <c r="GT61" s="182" t="s">
        <v>517</v>
      </c>
      <c r="GU61" s="182" t="s">
        <v>517</v>
      </c>
      <c r="GV61" s="182" t="s">
        <v>517</v>
      </c>
      <c r="GW61" s="182" t="s">
        <v>517</v>
      </c>
      <c r="GX61" s="182" t="s">
        <v>517</v>
      </c>
      <c r="GY61" s="182" t="s">
        <v>517</v>
      </c>
      <c r="GZ61" s="182" t="s">
        <v>517</v>
      </c>
      <c r="HA61" s="182" t="s">
        <v>517</v>
      </c>
      <c r="HB61" s="182" t="s">
        <v>517</v>
      </c>
      <c r="HC61" s="182" t="s">
        <v>517</v>
      </c>
      <c r="HD61" s="182" t="s">
        <v>598</v>
      </c>
      <c r="HE61" s="182" t="s">
        <v>598</v>
      </c>
      <c r="HF61" s="182" t="s">
        <v>598</v>
      </c>
      <c r="HG61" s="182" t="s">
        <v>517</v>
      </c>
      <c r="HH61" s="182" t="s">
        <v>517</v>
      </c>
      <c r="HI61" s="182" t="s">
        <v>517</v>
      </c>
      <c r="HJ61" s="182" t="s">
        <v>517</v>
      </c>
      <c r="HK61" s="182" t="s">
        <v>526</v>
      </c>
      <c r="HL61" s="182" t="s">
        <v>517</v>
      </c>
      <c r="HM61" s="182" t="s">
        <v>517</v>
      </c>
      <c r="HN61" s="182" t="s">
        <v>517</v>
      </c>
      <c r="HO61" s="182" t="s">
        <v>517</v>
      </c>
      <c r="HP61" s="182" t="s">
        <v>517</v>
      </c>
      <c r="HQ61" s="182" t="s">
        <v>517</v>
      </c>
      <c r="HR61" s="182" t="s">
        <v>517</v>
      </c>
      <c r="HS61" s="182" t="s">
        <v>517</v>
      </c>
      <c r="HT61" s="182" t="s">
        <v>635</v>
      </c>
      <c r="HU61" s="182" t="s">
        <v>635</v>
      </c>
      <c r="HV61" s="182" t="s">
        <v>635</v>
      </c>
      <c r="HW61" s="182" t="s">
        <v>520</v>
      </c>
      <c r="HX61" s="182" t="s">
        <v>635</v>
      </c>
      <c r="HY61" s="182" t="s">
        <v>635</v>
      </c>
      <c r="HZ61" s="182" t="s">
        <v>517</v>
      </c>
      <c r="IA61" s="182" t="s">
        <v>555</v>
      </c>
      <c r="IB61" s="182" t="s">
        <v>610</v>
      </c>
      <c r="IC61" s="182" t="s">
        <v>587</v>
      </c>
      <c r="ID61" s="182" t="s">
        <v>517</v>
      </c>
      <c r="IE61" s="182" t="s">
        <v>517</v>
      </c>
      <c r="IF61" s="182" t="s">
        <v>517</v>
      </c>
      <c r="IG61" s="182" t="s">
        <v>517</v>
      </c>
      <c r="IH61" s="182" t="s">
        <v>517</v>
      </c>
      <c r="II61" s="182" t="s">
        <v>517</v>
      </c>
      <c r="IJ61" s="182" t="s">
        <v>517</v>
      </c>
      <c r="IK61" s="182" t="s">
        <v>517</v>
      </c>
      <c r="IL61" s="182" t="s">
        <v>517</v>
      </c>
      <c r="IM61" s="182" t="s">
        <v>517</v>
      </c>
      <c r="IN61" s="182" t="s">
        <v>517</v>
      </c>
      <c r="IO61" s="182" t="s">
        <v>517</v>
      </c>
      <c r="IP61" s="182" t="s">
        <v>605</v>
      </c>
      <c r="IQ61" s="182" t="s">
        <v>517</v>
      </c>
      <c r="IR61" s="182" t="s">
        <v>517</v>
      </c>
      <c r="IS61" s="182" t="s">
        <v>517</v>
      </c>
      <c r="ZL61" s="182" t="str">
        <f t="shared" si="1"/>
        <v>CASABLANCA -DAKAR</v>
      </c>
      <c r="ZM61" s="183" t="s">
        <v>545</v>
      </c>
      <c r="ZN61" s="182" t="s">
        <v>548</v>
      </c>
      <c r="ZO61" s="182">
        <v>2323</v>
      </c>
      <c r="ZP61" s="198">
        <v>485.50700000000001</v>
      </c>
      <c r="ZQ61" s="193"/>
      <c r="ZR61" s="193"/>
      <c r="ZS61" s="193"/>
      <c r="ZT61" s="193"/>
    </row>
    <row r="62" spans="1:696" s="192" customFormat="1" ht="28.8">
      <c r="A62" s="91"/>
      <c r="B62" s="91"/>
      <c r="C62" s="91"/>
      <c r="D62" s="735"/>
      <c r="E62" s="189" t="s">
        <v>515</v>
      </c>
      <c r="F62" s="182" t="s">
        <v>620</v>
      </c>
      <c r="G62" s="182" t="s">
        <v>620</v>
      </c>
      <c r="H62" s="182" t="s">
        <v>620</v>
      </c>
      <c r="I62" s="182" t="s">
        <v>620</v>
      </c>
      <c r="J62" s="182" t="s">
        <v>517</v>
      </c>
      <c r="K62" s="182" t="s">
        <v>587</v>
      </c>
      <c r="L62" s="182" t="s">
        <v>555</v>
      </c>
      <c r="M62" s="182" t="s">
        <v>517</v>
      </c>
      <c r="N62" s="182" t="s">
        <v>517</v>
      </c>
      <c r="O62" s="182" t="s">
        <v>706</v>
      </c>
      <c r="P62" s="182" t="s">
        <v>546</v>
      </c>
      <c r="Q62" s="182" t="s">
        <v>546</v>
      </c>
      <c r="R62" s="182" t="s">
        <v>546</v>
      </c>
      <c r="S62" s="182" t="s">
        <v>517</v>
      </c>
      <c r="T62" s="182" t="s">
        <v>517</v>
      </c>
      <c r="U62" s="182" t="s">
        <v>517</v>
      </c>
      <c r="V62" s="182" t="s">
        <v>546</v>
      </c>
      <c r="W62" s="182" t="s">
        <v>517</v>
      </c>
      <c r="X62" s="182" t="s">
        <v>517</v>
      </c>
      <c r="Y62" s="182" t="s">
        <v>517</v>
      </c>
      <c r="Z62" s="182" t="s">
        <v>533</v>
      </c>
      <c r="AA62" s="182" t="s">
        <v>533</v>
      </c>
      <c r="AB62" s="182" t="s">
        <v>533</v>
      </c>
      <c r="AC62" s="182" t="s">
        <v>533</v>
      </c>
      <c r="AD62" s="182" t="s">
        <v>517</v>
      </c>
      <c r="AE62" s="182" t="s">
        <v>598</v>
      </c>
      <c r="AF62" s="182" t="s">
        <v>598</v>
      </c>
      <c r="AG62" s="182" t="s">
        <v>598</v>
      </c>
      <c r="AH62" s="182" t="s">
        <v>517</v>
      </c>
      <c r="AI62" s="182" t="s">
        <v>517</v>
      </c>
      <c r="AJ62" s="182" t="s">
        <v>573</v>
      </c>
      <c r="AK62" s="182" t="s">
        <v>573</v>
      </c>
      <c r="AL62" s="182" t="s">
        <v>573</v>
      </c>
      <c r="AM62" s="182" t="s">
        <v>573</v>
      </c>
      <c r="AN62" s="182" t="s">
        <v>517</v>
      </c>
      <c r="AO62" s="182" t="s">
        <v>573</v>
      </c>
      <c r="AP62" s="182" t="s">
        <v>573</v>
      </c>
      <c r="AQ62" s="182" t="s">
        <v>573</v>
      </c>
      <c r="AR62" s="182" t="s">
        <v>573</v>
      </c>
      <c r="AS62" s="182" t="s">
        <v>573</v>
      </c>
      <c r="AT62" s="182" t="s">
        <v>573</v>
      </c>
      <c r="AU62" s="182" t="s">
        <v>573</v>
      </c>
      <c r="AV62" s="182" t="s">
        <v>573</v>
      </c>
      <c r="AW62" s="182" t="s">
        <v>517</v>
      </c>
      <c r="AX62" s="182" t="s">
        <v>517</v>
      </c>
      <c r="AY62" s="182" t="s">
        <v>517</v>
      </c>
      <c r="AZ62" s="182" t="s">
        <v>517</v>
      </c>
      <c r="BA62" s="182" t="s">
        <v>573</v>
      </c>
      <c r="BB62" s="182" t="s">
        <v>573</v>
      </c>
      <c r="BC62" s="182" t="s">
        <v>573</v>
      </c>
      <c r="BD62" s="182" t="s">
        <v>573</v>
      </c>
      <c r="BE62" s="182" t="s">
        <v>517</v>
      </c>
      <c r="BF62" s="182" t="s">
        <v>517</v>
      </c>
      <c r="BG62" s="182" t="s">
        <v>517</v>
      </c>
      <c r="BH62" s="182" t="s">
        <v>517</v>
      </c>
      <c r="BI62" s="182" t="s">
        <v>517</v>
      </c>
      <c r="BJ62" s="182" t="s">
        <v>517</v>
      </c>
      <c r="BK62" s="182" t="s">
        <v>517</v>
      </c>
      <c r="BL62" s="182" t="s">
        <v>708</v>
      </c>
      <c r="BM62" s="182" t="s">
        <v>517</v>
      </c>
      <c r="BN62" s="182" t="s">
        <v>517</v>
      </c>
      <c r="BO62" s="182" t="s">
        <v>517</v>
      </c>
      <c r="BP62" s="182" t="s">
        <v>623</v>
      </c>
      <c r="BQ62" s="182" t="s">
        <v>623</v>
      </c>
      <c r="BR62" s="182" t="s">
        <v>623</v>
      </c>
      <c r="BS62" s="182" t="s">
        <v>623</v>
      </c>
      <c r="BT62" s="182" t="s">
        <v>623</v>
      </c>
      <c r="BU62" s="182" t="s">
        <v>623</v>
      </c>
      <c r="BV62" s="182" t="s">
        <v>623</v>
      </c>
      <c r="BW62" s="182" t="s">
        <v>563</v>
      </c>
      <c r="BX62" s="182" t="s">
        <v>563</v>
      </c>
      <c r="BY62" s="182" t="s">
        <v>537</v>
      </c>
      <c r="BZ62" s="182" t="s">
        <v>537</v>
      </c>
      <c r="CA62" s="182" t="s">
        <v>537</v>
      </c>
      <c r="CB62" s="182" t="s">
        <v>517</v>
      </c>
      <c r="CC62" s="182" t="s">
        <v>521</v>
      </c>
      <c r="CD62" s="182" t="s">
        <v>521</v>
      </c>
      <c r="CE62" s="182" t="s">
        <v>521</v>
      </c>
      <c r="CF62" s="182" t="s">
        <v>589</v>
      </c>
      <c r="CG62" s="182" t="s">
        <v>589</v>
      </c>
      <c r="CH62" s="182" t="s">
        <v>589</v>
      </c>
      <c r="CI62" s="182" t="s">
        <v>517</v>
      </c>
      <c r="CJ62" s="182" t="s">
        <v>553</v>
      </c>
      <c r="CK62" s="182" t="s">
        <v>553</v>
      </c>
      <c r="CL62" s="182" t="s">
        <v>553</v>
      </c>
      <c r="CM62" s="182" t="s">
        <v>520</v>
      </c>
      <c r="CN62" s="182" t="s">
        <v>520</v>
      </c>
      <c r="CO62" s="182" t="s">
        <v>536</v>
      </c>
      <c r="CP62" s="182" t="s">
        <v>517</v>
      </c>
      <c r="CQ62" s="182" t="s">
        <v>517</v>
      </c>
      <c r="CR62" s="182" t="s">
        <v>517</v>
      </c>
      <c r="CS62" s="182" t="s">
        <v>547</v>
      </c>
      <c r="CT62" s="182" t="s">
        <v>527</v>
      </c>
      <c r="CU62" s="182" t="s">
        <v>662</v>
      </c>
      <c r="CV62" s="182" t="s">
        <v>662</v>
      </c>
      <c r="CW62" s="182" t="s">
        <v>662</v>
      </c>
      <c r="CX62" s="182" t="s">
        <v>662</v>
      </c>
      <c r="CY62" s="182" t="s">
        <v>662</v>
      </c>
      <c r="CZ62" s="182" t="s">
        <v>542</v>
      </c>
      <c r="DA62" s="182" t="s">
        <v>542</v>
      </c>
      <c r="DB62" s="182" t="s">
        <v>542</v>
      </c>
      <c r="DC62" s="182" t="s">
        <v>517</v>
      </c>
      <c r="DD62" s="182" t="s">
        <v>517</v>
      </c>
      <c r="DE62" s="182" t="s">
        <v>517</v>
      </c>
      <c r="DF62" s="182" t="s">
        <v>517</v>
      </c>
      <c r="DG62" s="182" t="s">
        <v>674</v>
      </c>
      <c r="DH62" s="182" t="s">
        <v>547</v>
      </c>
      <c r="DI62" s="182" t="s">
        <v>613</v>
      </c>
      <c r="DJ62" s="182" t="s">
        <v>613</v>
      </c>
      <c r="DK62" s="182" t="s">
        <v>613</v>
      </c>
      <c r="DL62" s="182" t="s">
        <v>600</v>
      </c>
      <c r="DM62" s="182" t="s">
        <v>600</v>
      </c>
      <c r="DN62" s="182" t="s">
        <v>517</v>
      </c>
      <c r="DO62" s="182" t="s">
        <v>517</v>
      </c>
      <c r="DP62" s="182" t="s">
        <v>517</v>
      </c>
      <c r="DQ62" s="182" t="s">
        <v>624</v>
      </c>
      <c r="DR62" s="182" t="s">
        <v>624</v>
      </c>
      <c r="DS62" s="182" t="s">
        <v>624</v>
      </c>
      <c r="DT62" s="182" t="s">
        <v>624</v>
      </c>
      <c r="DU62" s="182" t="s">
        <v>556</v>
      </c>
      <c r="DV62" s="182" t="s">
        <v>517</v>
      </c>
      <c r="DW62" s="182" t="s">
        <v>517</v>
      </c>
      <c r="DX62" s="182" t="s">
        <v>517</v>
      </c>
      <c r="DY62" s="182" t="s">
        <v>517</v>
      </c>
      <c r="DZ62" s="182" t="s">
        <v>519</v>
      </c>
      <c r="EA62" s="182" t="s">
        <v>519</v>
      </c>
      <c r="EB62" s="182" t="s">
        <v>519</v>
      </c>
      <c r="EC62" s="182" t="s">
        <v>519</v>
      </c>
      <c r="ED62" s="182" t="s">
        <v>519</v>
      </c>
      <c r="EE62" s="182" t="s">
        <v>519</v>
      </c>
      <c r="EF62" s="182" t="s">
        <v>519</v>
      </c>
      <c r="EG62" s="182" t="s">
        <v>519</v>
      </c>
      <c r="EH62" s="182" t="s">
        <v>519</v>
      </c>
      <c r="EI62" s="182" t="s">
        <v>519</v>
      </c>
      <c r="EJ62" s="182" t="s">
        <v>519</v>
      </c>
      <c r="EK62" s="182" t="s">
        <v>519</v>
      </c>
      <c r="EL62" s="182" t="s">
        <v>576</v>
      </c>
      <c r="EM62" s="182" t="s">
        <v>576</v>
      </c>
      <c r="EN62" s="182" t="s">
        <v>576</v>
      </c>
      <c r="EO62" s="182" t="s">
        <v>576</v>
      </c>
      <c r="EP62" s="182" t="s">
        <v>517</v>
      </c>
      <c r="EQ62" s="182" t="s">
        <v>517</v>
      </c>
      <c r="ER62" s="182" t="s">
        <v>517</v>
      </c>
      <c r="ES62" s="182" t="s">
        <v>645</v>
      </c>
      <c r="ET62" s="182" t="s">
        <v>645</v>
      </c>
      <c r="EU62" s="182" t="s">
        <v>645</v>
      </c>
      <c r="EV62" s="182" t="s">
        <v>545</v>
      </c>
      <c r="EW62" s="182" t="s">
        <v>558</v>
      </c>
      <c r="EX62" s="182" t="s">
        <v>558</v>
      </c>
      <c r="EY62" s="182" t="s">
        <v>558</v>
      </c>
      <c r="EZ62" s="182" t="s">
        <v>577</v>
      </c>
      <c r="FA62" s="182" t="s">
        <v>570</v>
      </c>
      <c r="FB62" s="182" t="s">
        <v>570</v>
      </c>
      <c r="FC62" s="182" t="s">
        <v>558</v>
      </c>
      <c r="FD62" s="182" t="s">
        <v>558</v>
      </c>
      <c r="FE62" s="182" t="s">
        <v>640</v>
      </c>
      <c r="FF62" s="182" t="s">
        <v>526</v>
      </c>
      <c r="FG62" s="182" t="s">
        <v>526</v>
      </c>
      <c r="FH62" s="182" t="s">
        <v>576</v>
      </c>
      <c r="FI62" s="182" t="s">
        <v>576</v>
      </c>
      <c r="FJ62" s="182" t="s">
        <v>545</v>
      </c>
      <c r="FK62" s="182" t="s">
        <v>545</v>
      </c>
      <c r="FL62" s="182" t="s">
        <v>558</v>
      </c>
      <c r="FM62" s="182" t="s">
        <v>584</v>
      </c>
      <c r="FN62" s="182" t="s">
        <v>584</v>
      </c>
      <c r="FO62" s="182" t="s">
        <v>575</v>
      </c>
      <c r="FP62" s="182" t="s">
        <v>545</v>
      </c>
      <c r="FQ62" s="182" t="s">
        <v>545</v>
      </c>
      <c r="FR62" s="182" t="s">
        <v>694</v>
      </c>
      <c r="FS62" s="182" t="s">
        <v>517</v>
      </c>
      <c r="FT62" s="182" t="s">
        <v>517</v>
      </c>
      <c r="FU62" s="182" t="s">
        <v>517</v>
      </c>
      <c r="FV62" s="182" t="s">
        <v>517</v>
      </c>
      <c r="FW62" s="182" t="s">
        <v>517</v>
      </c>
      <c r="FX62" s="182" t="s">
        <v>517</v>
      </c>
      <c r="FY62" s="182" t="s">
        <v>644</v>
      </c>
      <c r="FZ62" s="182" t="s">
        <v>526</v>
      </c>
      <c r="GA62" s="182" t="s">
        <v>782</v>
      </c>
      <c r="GB62" s="182" t="s">
        <v>784</v>
      </c>
      <c r="GC62" s="182" t="s">
        <v>784</v>
      </c>
      <c r="GD62" s="182" t="s">
        <v>517</v>
      </c>
      <c r="GE62" s="182" t="s">
        <v>535</v>
      </c>
      <c r="GF62" s="182" t="s">
        <v>605</v>
      </c>
      <c r="GG62" s="182" t="s">
        <v>517</v>
      </c>
      <c r="GH62" s="182" t="s">
        <v>571</v>
      </c>
      <c r="GI62" s="182" t="s">
        <v>517</v>
      </c>
      <c r="GJ62" s="182" t="s">
        <v>698</v>
      </c>
      <c r="GK62" s="182" t="s">
        <v>698</v>
      </c>
      <c r="GL62" s="182" t="s">
        <v>698</v>
      </c>
      <c r="GM62" s="182" t="s">
        <v>784</v>
      </c>
      <c r="GN62" s="182" t="s">
        <v>784</v>
      </c>
      <c r="GO62" s="182" t="s">
        <v>561</v>
      </c>
      <c r="GP62" s="182" t="s">
        <v>561</v>
      </c>
      <c r="GQ62" s="182" t="s">
        <v>647</v>
      </c>
      <c r="GR62" s="182" t="s">
        <v>543</v>
      </c>
      <c r="GS62" s="182" t="s">
        <v>543</v>
      </c>
      <c r="GT62" s="182" t="s">
        <v>661</v>
      </c>
      <c r="GU62" s="182" t="s">
        <v>607</v>
      </c>
      <c r="GV62" s="182" t="s">
        <v>607</v>
      </c>
      <c r="GW62" s="182" t="s">
        <v>662</v>
      </c>
      <c r="GX62" s="182" t="s">
        <v>662</v>
      </c>
      <c r="GY62" s="182" t="s">
        <v>662</v>
      </c>
      <c r="GZ62" s="182" t="s">
        <v>662</v>
      </c>
      <c r="HA62" s="182" t="s">
        <v>662</v>
      </c>
      <c r="HB62" s="182" t="s">
        <v>786</v>
      </c>
      <c r="HC62" s="182" t="s">
        <v>786</v>
      </c>
      <c r="HD62" s="182" t="s">
        <v>787</v>
      </c>
      <c r="HE62" s="182" t="s">
        <v>787</v>
      </c>
      <c r="HF62" s="182" t="s">
        <v>787</v>
      </c>
      <c r="HG62" s="182" t="s">
        <v>580</v>
      </c>
      <c r="HH62" s="182" t="s">
        <v>692</v>
      </c>
      <c r="HI62" s="182" t="s">
        <v>771</v>
      </c>
      <c r="HJ62" s="182" t="s">
        <v>579</v>
      </c>
      <c r="HK62" s="182" t="s">
        <v>610</v>
      </c>
      <c r="HL62" s="182" t="s">
        <v>587</v>
      </c>
      <c r="HM62" s="182" t="s">
        <v>587</v>
      </c>
      <c r="HN62" s="182" t="s">
        <v>587</v>
      </c>
      <c r="HO62" s="182" t="s">
        <v>587</v>
      </c>
      <c r="HP62" s="182" t="s">
        <v>610</v>
      </c>
      <c r="HQ62" s="182" t="s">
        <v>610</v>
      </c>
      <c r="HR62" s="182" t="s">
        <v>610</v>
      </c>
      <c r="HS62" s="182" t="s">
        <v>610</v>
      </c>
      <c r="HT62" s="182" t="s">
        <v>517</v>
      </c>
      <c r="HU62" s="182" t="s">
        <v>517</v>
      </c>
      <c r="HV62" s="182" t="s">
        <v>517</v>
      </c>
      <c r="HW62" s="182" t="s">
        <v>682</v>
      </c>
      <c r="HX62" s="182" t="s">
        <v>526</v>
      </c>
      <c r="HY62" s="182" t="s">
        <v>526</v>
      </c>
      <c r="HZ62" s="182" t="s">
        <v>555</v>
      </c>
      <c r="IA62" s="182" t="s">
        <v>517</v>
      </c>
      <c r="IB62" s="182" t="s">
        <v>517</v>
      </c>
      <c r="IC62" s="182" t="s">
        <v>526</v>
      </c>
      <c r="ID62" s="182" t="s">
        <v>604</v>
      </c>
      <c r="IE62" s="182" t="s">
        <v>604</v>
      </c>
      <c r="IF62" s="182" t="s">
        <v>604</v>
      </c>
      <c r="IG62" s="182" t="s">
        <v>604</v>
      </c>
      <c r="IH62" s="182" t="s">
        <v>604</v>
      </c>
      <c r="II62" s="182" t="s">
        <v>604</v>
      </c>
      <c r="IJ62" s="182" t="s">
        <v>682</v>
      </c>
      <c r="IK62" s="182" t="s">
        <v>566</v>
      </c>
      <c r="IL62" s="182" t="s">
        <v>566</v>
      </c>
      <c r="IM62" s="182" t="s">
        <v>566</v>
      </c>
      <c r="IN62" s="182" t="s">
        <v>641</v>
      </c>
      <c r="IO62" s="182" t="s">
        <v>641</v>
      </c>
      <c r="IP62" s="182" t="s">
        <v>788</v>
      </c>
      <c r="IQ62" s="182" t="s">
        <v>789</v>
      </c>
      <c r="IR62" s="182" t="s">
        <v>789</v>
      </c>
      <c r="IS62" s="182" t="s">
        <v>791</v>
      </c>
      <c r="ZL62" s="182" t="str">
        <f t="shared" si="1"/>
        <v>CATANE -LYON</v>
      </c>
      <c r="ZM62" s="183" t="s">
        <v>549</v>
      </c>
      <c r="ZN62" s="182" t="s">
        <v>517</v>
      </c>
      <c r="ZO62" s="182">
        <v>1250</v>
      </c>
      <c r="ZP62" s="198">
        <v>297.5</v>
      </c>
      <c r="ZQ62" s="193"/>
      <c r="ZR62" s="193"/>
      <c r="ZS62" s="193"/>
      <c r="ZT62" s="193"/>
    </row>
    <row r="63" spans="1:696" s="192" customFormat="1" ht="28.8">
      <c r="A63" s="319">
        <f>AVERAGE(F63:ZC63)</f>
        <v>3242.9758064516127</v>
      </c>
      <c r="B63" s="175">
        <f>COUNT(F63:ZC63)</f>
        <v>248</v>
      </c>
      <c r="C63" s="318">
        <f>F65/B63</f>
        <v>0.76085291935483845</v>
      </c>
      <c r="D63" s="735"/>
      <c r="E63" s="189" t="s">
        <v>322</v>
      </c>
      <c r="F63" s="182">
        <v>298</v>
      </c>
      <c r="G63" s="182">
        <v>298</v>
      </c>
      <c r="H63" s="182">
        <v>298</v>
      </c>
      <c r="I63" s="182">
        <v>298</v>
      </c>
      <c r="J63" s="182">
        <v>298</v>
      </c>
      <c r="K63" s="182">
        <v>339</v>
      </c>
      <c r="L63" s="182">
        <v>339</v>
      </c>
      <c r="M63" s="182">
        <v>340</v>
      </c>
      <c r="N63" s="182">
        <v>340</v>
      </c>
      <c r="O63" s="182">
        <v>357</v>
      </c>
      <c r="P63" s="182">
        <v>359</v>
      </c>
      <c r="Q63" s="182">
        <v>359</v>
      </c>
      <c r="R63" s="182">
        <v>359</v>
      </c>
      <c r="S63" s="182">
        <v>359</v>
      </c>
      <c r="T63" s="182">
        <v>359</v>
      </c>
      <c r="U63" s="182">
        <v>359</v>
      </c>
      <c r="V63" s="182">
        <v>359</v>
      </c>
      <c r="W63" s="182">
        <v>359</v>
      </c>
      <c r="X63" s="182">
        <v>359</v>
      </c>
      <c r="Y63" s="182">
        <v>392</v>
      </c>
      <c r="Z63" s="182">
        <v>435</v>
      </c>
      <c r="AA63" s="182">
        <v>435</v>
      </c>
      <c r="AB63" s="182">
        <v>435</v>
      </c>
      <c r="AC63" s="182">
        <v>435</v>
      </c>
      <c r="AD63" s="182">
        <v>439</v>
      </c>
      <c r="AE63" s="182">
        <v>439</v>
      </c>
      <c r="AF63" s="182">
        <v>439</v>
      </c>
      <c r="AG63" s="182">
        <v>439</v>
      </c>
      <c r="AH63" s="182">
        <v>495</v>
      </c>
      <c r="AI63" s="182">
        <v>515</v>
      </c>
      <c r="AJ63" s="182">
        <v>515</v>
      </c>
      <c r="AK63" s="182">
        <v>515</v>
      </c>
      <c r="AL63" s="182">
        <v>515</v>
      </c>
      <c r="AM63" s="182">
        <v>515</v>
      </c>
      <c r="AN63" s="182">
        <v>515</v>
      </c>
      <c r="AO63" s="182">
        <v>515</v>
      </c>
      <c r="AP63" s="182">
        <v>515</v>
      </c>
      <c r="AQ63" s="182">
        <v>515</v>
      </c>
      <c r="AR63" s="182">
        <v>515</v>
      </c>
      <c r="AS63" s="182">
        <v>515</v>
      </c>
      <c r="AT63" s="182">
        <v>515</v>
      </c>
      <c r="AU63" s="182">
        <v>515</v>
      </c>
      <c r="AV63" s="182">
        <v>515</v>
      </c>
      <c r="AW63" s="182">
        <v>515</v>
      </c>
      <c r="AX63" s="182">
        <v>515</v>
      </c>
      <c r="AY63" s="182">
        <v>515</v>
      </c>
      <c r="AZ63" s="182">
        <v>515</v>
      </c>
      <c r="BA63" s="182">
        <v>515</v>
      </c>
      <c r="BB63" s="182">
        <v>515</v>
      </c>
      <c r="BC63" s="182">
        <v>515</v>
      </c>
      <c r="BD63" s="182">
        <v>515</v>
      </c>
      <c r="BE63" s="182">
        <v>515</v>
      </c>
      <c r="BF63" s="182">
        <v>515</v>
      </c>
      <c r="BG63" s="182">
        <v>515</v>
      </c>
      <c r="BH63" s="182">
        <v>515</v>
      </c>
      <c r="BI63" s="182">
        <v>515</v>
      </c>
      <c r="BJ63" s="182">
        <v>515</v>
      </c>
      <c r="BK63" s="182">
        <v>515</v>
      </c>
      <c r="BL63" s="182">
        <v>542</v>
      </c>
      <c r="BM63" s="182">
        <v>550</v>
      </c>
      <c r="BN63" s="182">
        <v>557</v>
      </c>
      <c r="BO63" s="182">
        <v>559</v>
      </c>
      <c r="BP63" s="182">
        <v>559</v>
      </c>
      <c r="BQ63" s="182">
        <v>559</v>
      </c>
      <c r="BR63" s="182">
        <v>559</v>
      </c>
      <c r="BS63" s="182">
        <v>559</v>
      </c>
      <c r="BT63" s="182">
        <v>559</v>
      </c>
      <c r="BU63" s="182">
        <v>559</v>
      </c>
      <c r="BV63" s="182">
        <v>559</v>
      </c>
      <c r="BW63" s="182">
        <v>562</v>
      </c>
      <c r="BX63" s="182">
        <v>562</v>
      </c>
      <c r="BY63" s="182">
        <v>566</v>
      </c>
      <c r="BZ63" s="182">
        <v>566</v>
      </c>
      <c r="CA63" s="182">
        <v>566</v>
      </c>
      <c r="CB63" s="182">
        <v>567</v>
      </c>
      <c r="CC63" s="182">
        <v>575</v>
      </c>
      <c r="CD63" s="182">
        <v>575</v>
      </c>
      <c r="CE63" s="182">
        <v>575</v>
      </c>
      <c r="CF63" s="182">
        <v>612</v>
      </c>
      <c r="CG63" s="182">
        <v>612</v>
      </c>
      <c r="CH63" s="182">
        <v>612</v>
      </c>
      <c r="CI63" s="182">
        <v>735</v>
      </c>
      <c r="CJ63" s="182">
        <v>735</v>
      </c>
      <c r="CK63" s="182">
        <v>735</v>
      </c>
      <c r="CL63" s="182">
        <v>735</v>
      </c>
      <c r="CM63" s="182">
        <v>735</v>
      </c>
      <c r="CN63" s="182">
        <v>735</v>
      </c>
      <c r="CO63" s="182">
        <v>763</v>
      </c>
      <c r="CP63" s="182">
        <v>765</v>
      </c>
      <c r="CQ63" s="182">
        <v>774</v>
      </c>
      <c r="CR63" s="182">
        <v>774</v>
      </c>
      <c r="CS63" s="182">
        <v>827</v>
      </c>
      <c r="CT63" s="182">
        <v>855</v>
      </c>
      <c r="CU63" s="182">
        <v>912</v>
      </c>
      <c r="CV63" s="182">
        <v>912</v>
      </c>
      <c r="CW63" s="182">
        <v>912</v>
      </c>
      <c r="CX63" s="182">
        <v>912</v>
      </c>
      <c r="CY63" s="182">
        <v>912</v>
      </c>
      <c r="CZ63" s="182">
        <v>912</v>
      </c>
      <c r="DA63" s="182">
        <v>912</v>
      </c>
      <c r="DB63" s="182">
        <v>912</v>
      </c>
      <c r="DC63" s="182">
        <v>912</v>
      </c>
      <c r="DD63" s="182">
        <v>912</v>
      </c>
      <c r="DE63" s="182">
        <v>931</v>
      </c>
      <c r="DF63" s="182">
        <v>937</v>
      </c>
      <c r="DG63" s="182">
        <v>937</v>
      </c>
      <c r="DH63" s="182">
        <v>957</v>
      </c>
      <c r="DI63" s="182">
        <v>976</v>
      </c>
      <c r="DJ63" s="182">
        <v>976</v>
      </c>
      <c r="DK63" s="182">
        <v>976</v>
      </c>
      <c r="DL63" s="182">
        <v>1014</v>
      </c>
      <c r="DM63" s="182">
        <v>1014</v>
      </c>
      <c r="DN63" s="182">
        <v>1026</v>
      </c>
      <c r="DO63" s="182">
        <v>1026</v>
      </c>
      <c r="DP63" s="182">
        <v>1026</v>
      </c>
      <c r="DQ63" s="182">
        <v>1026</v>
      </c>
      <c r="DR63" s="182">
        <v>1026</v>
      </c>
      <c r="DS63" s="182">
        <v>1026</v>
      </c>
      <c r="DT63" s="182">
        <v>1026</v>
      </c>
      <c r="DU63" s="182">
        <v>1159</v>
      </c>
      <c r="DV63" s="182">
        <v>1160</v>
      </c>
      <c r="DW63" s="182">
        <v>1198</v>
      </c>
      <c r="DX63" s="182">
        <v>1198</v>
      </c>
      <c r="DY63" s="182">
        <v>1198</v>
      </c>
      <c r="DZ63" s="182">
        <v>1198</v>
      </c>
      <c r="EA63" s="182">
        <v>1198</v>
      </c>
      <c r="EB63" s="182">
        <v>1198</v>
      </c>
      <c r="EC63" s="182">
        <v>1198</v>
      </c>
      <c r="ED63" s="182">
        <v>1198</v>
      </c>
      <c r="EE63" s="182">
        <v>1198</v>
      </c>
      <c r="EF63" s="182">
        <v>1198</v>
      </c>
      <c r="EG63" s="182">
        <v>1198</v>
      </c>
      <c r="EH63" s="182">
        <v>1198</v>
      </c>
      <c r="EI63" s="182">
        <v>1198</v>
      </c>
      <c r="EJ63" s="182">
        <v>1198</v>
      </c>
      <c r="EK63" s="182">
        <v>1198</v>
      </c>
      <c r="EL63" s="182">
        <v>1219</v>
      </c>
      <c r="EM63" s="182">
        <v>1219</v>
      </c>
      <c r="EN63" s="182">
        <v>1219</v>
      </c>
      <c r="EO63" s="182">
        <v>1219</v>
      </c>
      <c r="EP63" s="182">
        <v>1354</v>
      </c>
      <c r="EQ63" s="182">
        <v>1354</v>
      </c>
      <c r="ER63" s="182">
        <v>1354</v>
      </c>
      <c r="ES63" s="182">
        <v>1354</v>
      </c>
      <c r="ET63" s="182">
        <v>1354</v>
      </c>
      <c r="EU63" s="182">
        <v>1354</v>
      </c>
      <c r="EV63" s="182">
        <v>1362</v>
      </c>
      <c r="EW63" s="182">
        <v>1366</v>
      </c>
      <c r="EX63" s="182">
        <v>1366</v>
      </c>
      <c r="EY63" s="182">
        <v>1366</v>
      </c>
      <c r="EZ63" s="182">
        <v>1415</v>
      </c>
      <c r="FA63" s="182">
        <v>1443</v>
      </c>
      <c r="FB63" s="182">
        <v>1443</v>
      </c>
      <c r="FC63" s="182">
        <v>1499</v>
      </c>
      <c r="FD63" s="182">
        <v>1499</v>
      </c>
      <c r="FE63" s="182">
        <v>1671</v>
      </c>
      <c r="FF63" s="182">
        <v>1816</v>
      </c>
      <c r="FG63" s="182">
        <v>1816</v>
      </c>
      <c r="FH63" s="182">
        <v>1843</v>
      </c>
      <c r="FI63" s="182">
        <v>1843</v>
      </c>
      <c r="FJ63" s="182">
        <v>1880</v>
      </c>
      <c r="FK63" s="182">
        <v>1880</v>
      </c>
      <c r="FL63" s="182">
        <v>1958</v>
      </c>
      <c r="FM63" s="182">
        <v>1959</v>
      </c>
      <c r="FN63" s="182">
        <v>1959</v>
      </c>
      <c r="FO63" s="182">
        <v>1992</v>
      </c>
      <c r="FP63" s="182">
        <v>2114</v>
      </c>
      <c r="FQ63" s="182">
        <v>2114</v>
      </c>
      <c r="FR63" s="182">
        <v>2366</v>
      </c>
      <c r="FS63" s="182">
        <v>3762</v>
      </c>
      <c r="FT63" s="182">
        <v>3762</v>
      </c>
      <c r="FU63" s="182">
        <v>3762</v>
      </c>
      <c r="FV63" s="182">
        <v>3865</v>
      </c>
      <c r="FW63" s="182">
        <v>3865</v>
      </c>
      <c r="FX63" s="182">
        <v>3865</v>
      </c>
      <c r="FY63" s="182">
        <v>3865</v>
      </c>
      <c r="FZ63" s="182">
        <v>3876</v>
      </c>
      <c r="GA63" s="182">
        <v>3876</v>
      </c>
      <c r="GB63" s="182">
        <v>4058</v>
      </c>
      <c r="GC63" s="182">
        <v>4058</v>
      </c>
      <c r="GD63" s="182">
        <v>4778</v>
      </c>
      <c r="GE63" s="182">
        <v>5824</v>
      </c>
      <c r="GF63" s="182">
        <v>5836</v>
      </c>
      <c r="GG63" s="182">
        <v>5921</v>
      </c>
      <c r="GH63" s="182">
        <v>6147</v>
      </c>
      <c r="GI63" s="182">
        <v>6251</v>
      </c>
      <c r="GJ63" s="182">
        <v>6580</v>
      </c>
      <c r="GK63" s="182">
        <v>6580</v>
      </c>
      <c r="GL63" s="182">
        <v>6580</v>
      </c>
      <c r="GM63" s="182">
        <v>6967</v>
      </c>
      <c r="GN63" s="182">
        <v>6967</v>
      </c>
      <c r="GO63" s="182">
        <v>6990</v>
      </c>
      <c r="GP63" s="182">
        <v>6990</v>
      </c>
      <c r="GQ63" s="182">
        <v>7507</v>
      </c>
      <c r="GR63" s="182">
        <v>7959</v>
      </c>
      <c r="GS63" s="182">
        <v>7959</v>
      </c>
      <c r="GT63" s="182">
        <v>8315</v>
      </c>
      <c r="GU63" s="182">
        <v>8315</v>
      </c>
      <c r="GV63" s="182">
        <v>8315</v>
      </c>
      <c r="GW63" s="182">
        <v>8315</v>
      </c>
      <c r="GX63" s="182">
        <v>8315</v>
      </c>
      <c r="GY63" s="182">
        <v>8315</v>
      </c>
      <c r="GZ63" s="182">
        <v>8315</v>
      </c>
      <c r="HA63" s="182">
        <v>8315</v>
      </c>
      <c r="HB63" s="182">
        <v>8410</v>
      </c>
      <c r="HC63" s="182">
        <v>8410</v>
      </c>
      <c r="HD63" s="182">
        <v>8637</v>
      </c>
      <c r="HE63" s="182">
        <v>8637</v>
      </c>
      <c r="HF63" s="182">
        <v>8637</v>
      </c>
      <c r="HG63" s="182">
        <v>9099</v>
      </c>
      <c r="HH63" s="182">
        <v>9114</v>
      </c>
      <c r="HI63" s="182">
        <v>9137</v>
      </c>
      <c r="HJ63" s="182">
        <v>9162</v>
      </c>
      <c r="HK63" s="182">
        <v>9265</v>
      </c>
      <c r="HL63" s="182">
        <v>9293</v>
      </c>
      <c r="HM63" s="182">
        <v>9293</v>
      </c>
      <c r="HN63" s="182">
        <v>9293</v>
      </c>
      <c r="HO63" s="182">
        <v>9293</v>
      </c>
      <c r="HP63" s="182">
        <v>9346</v>
      </c>
      <c r="HQ63" s="182">
        <v>9346</v>
      </c>
      <c r="HR63" s="182">
        <v>9346</v>
      </c>
      <c r="HS63" s="182">
        <v>9346</v>
      </c>
      <c r="HT63" s="182">
        <v>9451</v>
      </c>
      <c r="HU63" s="182">
        <v>9451</v>
      </c>
      <c r="HV63" s="182">
        <v>9451</v>
      </c>
      <c r="HW63" s="182">
        <v>9451</v>
      </c>
      <c r="HX63" s="182">
        <v>9612</v>
      </c>
      <c r="HY63" s="182">
        <v>9612</v>
      </c>
      <c r="HZ63" s="182">
        <v>9616</v>
      </c>
      <c r="IA63" s="182">
        <v>9616</v>
      </c>
      <c r="IB63" s="182">
        <v>9763</v>
      </c>
      <c r="IC63" s="182">
        <v>9818</v>
      </c>
      <c r="ID63" s="182">
        <v>9820</v>
      </c>
      <c r="IE63" s="182">
        <v>9820</v>
      </c>
      <c r="IF63" s="182">
        <v>9820</v>
      </c>
      <c r="IG63" s="182">
        <v>9820</v>
      </c>
      <c r="IH63" s="182">
        <v>9820</v>
      </c>
      <c r="II63" s="182">
        <v>9820</v>
      </c>
      <c r="IJ63" s="182">
        <v>9885</v>
      </c>
      <c r="IK63" s="182">
        <v>9908</v>
      </c>
      <c r="IL63" s="182">
        <v>9908</v>
      </c>
      <c r="IM63" s="182">
        <v>9908</v>
      </c>
      <c r="IN63" s="182">
        <v>10605</v>
      </c>
      <c r="IO63" s="182">
        <v>10605</v>
      </c>
      <c r="IP63" s="182">
        <v>11873</v>
      </c>
      <c r="IQ63" s="182">
        <v>16888</v>
      </c>
      <c r="IR63" s="182">
        <v>16888</v>
      </c>
      <c r="IS63" s="182">
        <v>18723</v>
      </c>
      <c r="ZL63" s="182" t="str">
        <f t="shared" si="1"/>
        <v>CHENGDU -LYON</v>
      </c>
      <c r="ZM63" s="183" t="s">
        <v>550</v>
      </c>
      <c r="ZN63" s="182" t="s">
        <v>517</v>
      </c>
      <c r="ZO63" s="182">
        <v>8274</v>
      </c>
      <c r="ZP63" s="198">
        <v>1903.02</v>
      </c>
      <c r="ZQ63" s="193"/>
      <c r="ZR63" s="193"/>
      <c r="ZS63" s="193"/>
      <c r="ZT63" s="193"/>
    </row>
    <row r="64" spans="1:696" s="192" customFormat="1" ht="28.8">
      <c r="A64" s="91"/>
      <c r="B64" s="91"/>
      <c r="C64" s="91"/>
      <c r="D64" s="735"/>
      <c r="E64" s="189" t="s">
        <v>341</v>
      </c>
      <c r="F64" s="184">
        <f t="shared" ref="F64:AK64" si="62">F63*0.314</f>
        <v>93.572000000000003</v>
      </c>
      <c r="G64" s="184">
        <f t="shared" si="62"/>
        <v>93.572000000000003</v>
      </c>
      <c r="H64" s="184">
        <f t="shared" si="62"/>
        <v>93.572000000000003</v>
      </c>
      <c r="I64" s="184">
        <f t="shared" si="62"/>
        <v>93.572000000000003</v>
      </c>
      <c r="J64" s="184">
        <f t="shared" si="62"/>
        <v>93.572000000000003</v>
      </c>
      <c r="K64" s="184">
        <f t="shared" si="62"/>
        <v>106.446</v>
      </c>
      <c r="L64" s="184">
        <f t="shared" si="62"/>
        <v>106.446</v>
      </c>
      <c r="M64" s="184">
        <f t="shared" si="62"/>
        <v>106.76</v>
      </c>
      <c r="N64" s="184">
        <f t="shared" si="62"/>
        <v>106.76</v>
      </c>
      <c r="O64" s="184">
        <f t="shared" si="62"/>
        <v>112.098</v>
      </c>
      <c r="P64" s="184">
        <f t="shared" si="62"/>
        <v>112.726</v>
      </c>
      <c r="Q64" s="184">
        <f t="shared" si="62"/>
        <v>112.726</v>
      </c>
      <c r="R64" s="184">
        <f t="shared" si="62"/>
        <v>112.726</v>
      </c>
      <c r="S64" s="184">
        <f t="shared" si="62"/>
        <v>112.726</v>
      </c>
      <c r="T64" s="184">
        <f t="shared" si="62"/>
        <v>112.726</v>
      </c>
      <c r="U64" s="184">
        <f t="shared" si="62"/>
        <v>112.726</v>
      </c>
      <c r="V64" s="184">
        <f t="shared" si="62"/>
        <v>112.726</v>
      </c>
      <c r="W64" s="184">
        <f t="shared" si="62"/>
        <v>112.726</v>
      </c>
      <c r="X64" s="184">
        <f t="shared" si="62"/>
        <v>112.726</v>
      </c>
      <c r="Y64" s="184">
        <f t="shared" si="62"/>
        <v>123.08799999999999</v>
      </c>
      <c r="Z64" s="184">
        <f t="shared" si="62"/>
        <v>136.59</v>
      </c>
      <c r="AA64" s="184">
        <f t="shared" si="62"/>
        <v>136.59</v>
      </c>
      <c r="AB64" s="184">
        <f t="shared" si="62"/>
        <v>136.59</v>
      </c>
      <c r="AC64" s="184">
        <f t="shared" si="62"/>
        <v>136.59</v>
      </c>
      <c r="AD64" s="184">
        <f t="shared" si="62"/>
        <v>137.846</v>
      </c>
      <c r="AE64" s="184">
        <f t="shared" si="62"/>
        <v>137.846</v>
      </c>
      <c r="AF64" s="184">
        <f t="shared" si="62"/>
        <v>137.846</v>
      </c>
      <c r="AG64" s="184">
        <f t="shared" si="62"/>
        <v>137.846</v>
      </c>
      <c r="AH64" s="184">
        <f t="shared" si="62"/>
        <v>155.43</v>
      </c>
      <c r="AI64" s="184">
        <f t="shared" si="62"/>
        <v>161.71</v>
      </c>
      <c r="AJ64" s="184">
        <f t="shared" si="62"/>
        <v>161.71</v>
      </c>
      <c r="AK64" s="184">
        <f t="shared" si="62"/>
        <v>161.71</v>
      </c>
      <c r="AL64" s="184">
        <f t="shared" ref="AL64:BQ64" si="63">AL63*0.314</f>
        <v>161.71</v>
      </c>
      <c r="AM64" s="184">
        <f t="shared" si="63"/>
        <v>161.71</v>
      </c>
      <c r="AN64" s="184">
        <f t="shared" si="63"/>
        <v>161.71</v>
      </c>
      <c r="AO64" s="184">
        <f t="shared" si="63"/>
        <v>161.71</v>
      </c>
      <c r="AP64" s="184">
        <f t="shared" si="63"/>
        <v>161.71</v>
      </c>
      <c r="AQ64" s="184">
        <f t="shared" si="63"/>
        <v>161.71</v>
      </c>
      <c r="AR64" s="184">
        <f t="shared" si="63"/>
        <v>161.71</v>
      </c>
      <c r="AS64" s="184">
        <f t="shared" si="63"/>
        <v>161.71</v>
      </c>
      <c r="AT64" s="184">
        <f t="shared" si="63"/>
        <v>161.71</v>
      </c>
      <c r="AU64" s="184">
        <f t="shared" si="63"/>
        <v>161.71</v>
      </c>
      <c r="AV64" s="184">
        <f t="shared" si="63"/>
        <v>161.71</v>
      </c>
      <c r="AW64" s="184">
        <f t="shared" si="63"/>
        <v>161.71</v>
      </c>
      <c r="AX64" s="184">
        <f t="shared" si="63"/>
        <v>161.71</v>
      </c>
      <c r="AY64" s="184">
        <f t="shared" si="63"/>
        <v>161.71</v>
      </c>
      <c r="AZ64" s="184">
        <f t="shared" si="63"/>
        <v>161.71</v>
      </c>
      <c r="BA64" s="184">
        <f t="shared" si="63"/>
        <v>161.71</v>
      </c>
      <c r="BB64" s="184">
        <f t="shared" si="63"/>
        <v>161.71</v>
      </c>
      <c r="BC64" s="184">
        <f t="shared" si="63"/>
        <v>161.71</v>
      </c>
      <c r="BD64" s="184">
        <f t="shared" si="63"/>
        <v>161.71</v>
      </c>
      <c r="BE64" s="184">
        <f t="shared" si="63"/>
        <v>161.71</v>
      </c>
      <c r="BF64" s="184">
        <f t="shared" si="63"/>
        <v>161.71</v>
      </c>
      <c r="BG64" s="184">
        <f t="shared" si="63"/>
        <v>161.71</v>
      </c>
      <c r="BH64" s="184">
        <f t="shared" si="63"/>
        <v>161.71</v>
      </c>
      <c r="BI64" s="184">
        <f t="shared" si="63"/>
        <v>161.71</v>
      </c>
      <c r="BJ64" s="184">
        <f t="shared" si="63"/>
        <v>161.71</v>
      </c>
      <c r="BK64" s="184">
        <f t="shared" si="63"/>
        <v>161.71</v>
      </c>
      <c r="BL64" s="184">
        <f t="shared" si="63"/>
        <v>170.18799999999999</v>
      </c>
      <c r="BM64" s="184">
        <f t="shared" si="63"/>
        <v>172.7</v>
      </c>
      <c r="BN64" s="184">
        <f t="shared" si="63"/>
        <v>174.898</v>
      </c>
      <c r="BO64" s="184">
        <f t="shared" si="63"/>
        <v>175.52600000000001</v>
      </c>
      <c r="BP64" s="184">
        <f t="shared" si="63"/>
        <v>175.52600000000001</v>
      </c>
      <c r="BQ64" s="184">
        <f t="shared" si="63"/>
        <v>175.52600000000001</v>
      </c>
      <c r="BR64" s="184">
        <f t="shared" ref="BR64:CW64" si="64">BR63*0.314</f>
        <v>175.52600000000001</v>
      </c>
      <c r="BS64" s="184">
        <f t="shared" si="64"/>
        <v>175.52600000000001</v>
      </c>
      <c r="BT64" s="184">
        <f t="shared" si="64"/>
        <v>175.52600000000001</v>
      </c>
      <c r="BU64" s="184">
        <f t="shared" si="64"/>
        <v>175.52600000000001</v>
      </c>
      <c r="BV64" s="184">
        <f t="shared" si="64"/>
        <v>175.52600000000001</v>
      </c>
      <c r="BW64" s="184">
        <f t="shared" si="64"/>
        <v>176.46799999999999</v>
      </c>
      <c r="BX64" s="184">
        <f t="shared" si="64"/>
        <v>176.46799999999999</v>
      </c>
      <c r="BY64" s="184">
        <f t="shared" si="64"/>
        <v>177.72399999999999</v>
      </c>
      <c r="BZ64" s="184">
        <f t="shared" si="64"/>
        <v>177.72399999999999</v>
      </c>
      <c r="CA64" s="184">
        <f t="shared" si="64"/>
        <v>177.72399999999999</v>
      </c>
      <c r="CB64" s="184">
        <f t="shared" si="64"/>
        <v>178.03800000000001</v>
      </c>
      <c r="CC64" s="184">
        <f t="shared" si="64"/>
        <v>180.55</v>
      </c>
      <c r="CD64" s="184">
        <f t="shared" si="64"/>
        <v>180.55</v>
      </c>
      <c r="CE64" s="184">
        <f t="shared" si="64"/>
        <v>180.55</v>
      </c>
      <c r="CF64" s="184">
        <f t="shared" si="64"/>
        <v>192.16800000000001</v>
      </c>
      <c r="CG64" s="184">
        <f t="shared" si="64"/>
        <v>192.16800000000001</v>
      </c>
      <c r="CH64" s="184">
        <f t="shared" si="64"/>
        <v>192.16800000000001</v>
      </c>
      <c r="CI64" s="184">
        <f t="shared" si="64"/>
        <v>230.79</v>
      </c>
      <c r="CJ64" s="184">
        <f t="shared" si="64"/>
        <v>230.79</v>
      </c>
      <c r="CK64" s="184">
        <f t="shared" si="64"/>
        <v>230.79</v>
      </c>
      <c r="CL64" s="184">
        <f t="shared" si="64"/>
        <v>230.79</v>
      </c>
      <c r="CM64" s="184">
        <f t="shared" si="64"/>
        <v>230.79</v>
      </c>
      <c r="CN64" s="184">
        <f t="shared" si="64"/>
        <v>230.79</v>
      </c>
      <c r="CO64" s="184">
        <f t="shared" si="64"/>
        <v>239.58199999999999</v>
      </c>
      <c r="CP64" s="184">
        <f t="shared" si="64"/>
        <v>240.21</v>
      </c>
      <c r="CQ64" s="184">
        <f t="shared" si="64"/>
        <v>243.036</v>
      </c>
      <c r="CR64" s="184">
        <f t="shared" si="64"/>
        <v>243.036</v>
      </c>
      <c r="CS64" s="184">
        <f t="shared" si="64"/>
        <v>259.678</v>
      </c>
      <c r="CT64" s="184">
        <f t="shared" si="64"/>
        <v>268.47000000000003</v>
      </c>
      <c r="CU64" s="184">
        <f t="shared" si="64"/>
        <v>286.36799999999999</v>
      </c>
      <c r="CV64" s="184">
        <f t="shared" si="64"/>
        <v>286.36799999999999</v>
      </c>
      <c r="CW64" s="184">
        <f t="shared" si="64"/>
        <v>286.36799999999999</v>
      </c>
      <c r="CX64" s="184">
        <f t="shared" ref="CX64:DK64" si="65">CX63*0.314</f>
        <v>286.36799999999999</v>
      </c>
      <c r="CY64" s="184">
        <f t="shared" si="65"/>
        <v>286.36799999999999</v>
      </c>
      <c r="CZ64" s="184">
        <f t="shared" si="65"/>
        <v>286.36799999999999</v>
      </c>
      <c r="DA64" s="184">
        <f t="shared" si="65"/>
        <v>286.36799999999999</v>
      </c>
      <c r="DB64" s="184">
        <f t="shared" si="65"/>
        <v>286.36799999999999</v>
      </c>
      <c r="DC64" s="184">
        <f t="shared" si="65"/>
        <v>286.36799999999999</v>
      </c>
      <c r="DD64" s="184">
        <f t="shared" si="65"/>
        <v>286.36799999999999</v>
      </c>
      <c r="DE64" s="184">
        <f t="shared" si="65"/>
        <v>292.334</v>
      </c>
      <c r="DF64" s="184">
        <f t="shared" si="65"/>
        <v>294.21800000000002</v>
      </c>
      <c r="DG64" s="184">
        <f t="shared" si="65"/>
        <v>294.21800000000002</v>
      </c>
      <c r="DH64" s="184">
        <f t="shared" si="65"/>
        <v>300.49799999999999</v>
      </c>
      <c r="DI64" s="184">
        <f t="shared" si="65"/>
        <v>306.464</v>
      </c>
      <c r="DJ64" s="184">
        <f t="shared" si="65"/>
        <v>306.464</v>
      </c>
      <c r="DK64" s="184">
        <f t="shared" si="65"/>
        <v>306.464</v>
      </c>
      <c r="DL64" s="184">
        <f t="shared" ref="DL64:EQ64" si="66">DL63*0.258</f>
        <v>261.61200000000002</v>
      </c>
      <c r="DM64" s="184">
        <f t="shared" si="66"/>
        <v>261.61200000000002</v>
      </c>
      <c r="DN64" s="184">
        <f t="shared" si="66"/>
        <v>264.70800000000003</v>
      </c>
      <c r="DO64" s="184">
        <f t="shared" si="66"/>
        <v>264.70800000000003</v>
      </c>
      <c r="DP64" s="184">
        <f t="shared" si="66"/>
        <v>264.70800000000003</v>
      </c>
      <c r="DQ64" s="184">
        <f t="shared" si="66"/>
        <v>264.70800000000003</v>
      </c>
      <c r="DR64" s="184">
        <f t="shared" si="66"/>
        <v>264.70800000000003</v>
      </c>
      <c r="DS64" s="184">
        <f t="shared" si="66"/>
        <v>264.70800000000003</v>
      </c>
      <c r="DT64" s="184">
        <f t="shared" si="66"/>
        <v>264.70800000000003</v>
      </c>
      <c r="DU64" s="184">
        <f t="shared" si="66"/>
        <v>299.02199999999999</v>
      </c>
      <c r="DV64" s="184">
        <f t="shared" si="66"/>
        <v>299.28000000000003</v>
      </c>
      <c r="DW64" s="184">
        <f t="shared" si="66"/>
        <v>309.084</v>
      </c>
      <c r="DX64" s="184">
        <f t="shared" si="66"/>
        <v>309.084</v>
      </c>
      <c r="DY64" s="184">
        <f t="shared" si="66"/>
        <v>309.084</v>
      </c>
      <c r="DZ64" s="184">
        <f t="shared" si="66"/>
        <v>309.084</v>
      </c>
      <c r="EA64" s="184">
        <f t="shared" si="66"/>
        <v>309.084</v>
      </c>
      <c r="EB64" s="184">
        <f t="shared" si="66"/>
        <v>309.084</v>
      </c>
      <c r="EC64" s="184">
        <f t="shared" si="66"/>
        <v>309.084</v>
      </c>
      <c r="ED64" s="184">
        <f t="shared" si="66"/>
        <v>309.084</v>
      </c>
      <c r="EE64" s="184">
        <f t="shared" si="66"/>
        <v>309.084</v>
      </c>
      <c r="EF64" s="184">
        <f t="shared" si="66"/>
        <v>309.084</v>
      </c>
      <c r="EG64" s="184">
        <f t="shared" si="66"/>
        <v>309.084</v>
      </c>
      <c r="EH64" s="184">
        <f t="shared" si="66"/>
        <v>309.084</v>
      </c>
      <c r="EI64" s="184">
        <f t="shared" si="66"/>
        <v>309.084</v>
      </c>
      <c r="EJ64" s="184">
        <f t="shared" si="66"/>
        <v>309.084</v>
      </c>
      <c r="EK64" s="184">
        <f t="shared" si="66"/>
        <v>309.084</v>
      </c>
      <c r="EL64" s="184">
        <f t="shared" si="66"/>
        <v>314.50200000000001</v>
      </c>
      <c r="EM64" s="184">
        <f t="shared" si="66"/>
        <v>314.50200000000001</v>
      </c>
      <c r="EN64" s="184">
        <f t="shared" si="66"/>
        <v>314.50200000000001</v>
      </c>
      <c r="EO64" s="184">
        <f t="shared" si="66"/>
        <v>314.50200000000001</v>
      </c>
      <c r="EP64" s="184">
        <f t="shared" si="66"/>
        <v>349.33199999999999</v>
      </c>
      <c r="EQ64" s="184">
        <f t="shared" si="66"/>
        <v>349.33199999999999</v>
      </c>
      <c r="ER64" s="184">
        <f t="shared" ref="ER64:FO64" si="67">ER63*0.258</f>
        <v>349.33199999999999</v>
      </c>
      <c r="ES64" s="184">
        <f t="shared" si="67"/>
        <v>349.33199999999999</v>
      </c>
      <c r="ET64" s="184">
        <f t="shared" si="67"/>
        <v>349.33199999999999</v>
      </c>
      <c r="EU64" s="184">
        <f t="shared" si="67"/>
        <v>349.33199999999999</v>
      </c>
      <c r="EV64" s="184">
        <f t="shared" si="67"/>
        <v>351.39600000000002</v>
      </c>
      <c r="EW64" s="184">
        <f t="shared" si="67"/>
        <v>352.428</v>
      </c>
      <c r="EX64" s="184">
        <f t="shared" si="67"/>
        <v>352.428</v>
      </c>
      <c r="EY64" s="184">
        <f t="shared" si="67"/>
        <v>352.428</v>
      </c>
      <c r="EZ64" s="184">
        <f t="shared" si="67"/>
        <v>365.07</v>
      </c>
      <c r="FA64" s="184">
        <f t="shared" si="67"/>
        <v>372.29399999999998</v>
      </c>
      <c r="FB64" s="184">
        <f t="shared" si="67"/>
        <v>372.29399999999998</v>
      </c>
      <c r="FC64" s="184">
        <f t="shared" si="67"/>
        <v>386.74200000000002</v>
      </c>
      <c r="FD64" s="184">
        <f t="shared" si="67"/>
        <v>386.74200000000002</v>
      </c>
      <c r="FE64" s="184">
        <f t="shared" si="67"/>
        <v>431.11799999999999</v>
      </c>
      <c r="FF64" s="184">
        <f t="shared" si="67"/>
        <v>468.52800000000002</v>
      </c>
      <c r="FG64" s="184">
        <f t="shared" si="67"/>
        <v>468.52800000000002</v>
      </c>
      <c r="FH64" s="184">
        <f t="shared" si="67"/>
        <v>475.49400000000003</v>
      </c>
      <c r="FI64" s="184">
        <f t="shared" si="67"/>
        <v>475.49400000000003</v>
      </c>
      <c r="FJ64" s="184">
        <f t="shared" si="67"/>
        <v>485.04</v>
      </c>
      <c r="FK64" s="184">
        <f t="shared" si="67"/>
        <v>485.04</v>
      </c>
      <c r="FL64" s="184">
        <f t="shared" si="67"/>
        <v>505.16399999999999</v>
      </c>
      <c r="FM64" s="184">
        <f t="shared" si="67"/>
        <v>505.42200000000003</v>
      </c>
      <c r="FN64" s="184">
        <f t="shared" si="67"/>
        <v>505.42200000000003</v>
      </c>
      <c r="FO64" s="184">
        <f t="shared" si="67"/>
        <v>513.93600000000004</v>
      </c>
      <c r="FP64" s="184">
        <f>FP63*0.209</f>
        <v>441.82599999999996</v>
      </c>
      <c r="FQ64" s="184">
        <f>FQ63*0.209</f>
        <v>441.82599999999996</v>
      </c>
      <c r="FR64" s="184">
        <f>FR63*0.209</f>
        <v>494.49399999999997</v>
      </c>
      <c r="FS64" s="184">
        <f t="shared" ref="FS64:FY64" si="68">FS63*0.23</f>
        <v>865.26</v>
      </c>
      <c r="FT64" s="184">
        <f t="shared" si="68"/>
        <v>865.26</v>
      </c>
      <c r="FU64" s="184">
        <f t="shared" si="68"/>
        <v>865.26</v>
      </c>
      <c r="FV64" s="184">
        <f t="shared" si="68"/>
        <v>888.95</v>
      </c>
      <c r="FW64" s="184">
        <f t="shared" si="68"/>
        <v>888.95</v>
      </c>
      <c r="FX64" s="184">
        <f t="shared" si="68"/>
        <v>888.95</v>
      </c>
      <c r="FY64" s="184">
        <f t="shared" si="68"/>
        <v>888.95</v>
      </c>
      <c r="FZ64" s="184">
        <f>FZ63*0.307</f>
        <v>1189.932</v>
      </c>
      <c r="GA64" s="184">
        <f>GA63*0.23</f>
        <v>891.48</v>
      </c>
      <c r="GB64" s="184">
        <f>GB63*0.307</f>
        <v>1245.806</v>
      </c>
      <c r="GC64" s="184">
        <f>GC63*0.307</f>
        <v>1245.806</v>
      </c>
      <c r="GD64" s="184">
        <f>GD63*0.223</f>
        <v>1065.4939999999999</v>
      </c>
      <c r="GE64" s="184">
        <f>GE63*0.223</f>
        <v>1298.752</v>
      </c>
      <c r="GF64" s="184">
        <f>GF63*0.223</f>
        <v>1301.4280000000001</v>
      </c>
      <c r="GG64" s="184">
        <f t="shared" ref="GG64:GR64" si="69">GG63*0.209</f>
        <v>1237.489</v>
      </c>
      <c r="GH64" s="184">
        <f t="shared" si="69"/>
        <v>1284.723</v>
      </c>
      <c r="GI64" s="184">
        <f t="shared" si="69"/>
        <v>1306.4589999999998</v>
      </c>
      <c r="GJ64" s="184">
        <f t="shared" si="69"/>
        <v>1375.22</v>
      </c>
      <c r="GK64" s="184">
        <f t="shared" si="69"/>
        <v>1375.22</v>
      </c>
      <c r="GL64" s="184">
        <f t="shared" si="69"/>
        <v>1375.22</v>
      </c>
      <c r="GM64" s="184">
        <f t="shared" si="69"/>
        <v>1456.1029999999998</v>
      </c>
      <c r="GN64" s="184">
        <f t="shared" si="69"/>
        <v>1456.1029999999998</v>
      </c>
      <c r="GO64" s="184">
        <f t="shared" si="69"/>
        <v>1460.9099999999999</v>
      </c>
      <c r="GP64" s="184">
        <f t="shared" si="69"/>
        <v>1460.9099999999999</v>
      </c>
      <c r="GQ64" s="184">
        <f t="shared" si="69"/>
        <v>1568.963</v>
      </c>
      <c r="GR64" s="184">
        <f t="shared" si="69"/>
        <v>1663.431</v>
      </c>
      <c r="GS64" s="184">
        <f t="shared" ref="GS64:HE64" si="70">GS63*0.23</f>
        <v>1830.5700000000002</v>
      </c>
      <c r="GT64" s="184">
        <f t="shared" si="70"/>
        <v>1912.45</v>
      </c>
      <c r="GU64" s="184">
        <f t="shared" si="70"/>
        <v>1912.45</v>
      </c>
      <c r="GV64" s="184">
        <f t="shared" si="70"/>
        <v>1912.45</v>
      </c>
      <c r="GW64" s="184">
        <f t="shared" si="70"/>
        <v>1912.45</v>
      </c>
      <c r="GX64" s="184">
        <f t="shared" si="70"/>
        <v>1912.45</v>
      </c>
      <c r="GY64" s="184">
        <f t="shared" si="70"/>
        <v>1912.45</v>
      </c>
      <c r="GZ64" s="184">
        <f t="shared" si="70"/>
        <v>1912.45</v>
      </c>
      <c r="HA64" s="184">
        <f t="shared" si="70"/>
        <v>1912.45</v>
      </c>
      <c r="HB64" s="184">
        <f t="shared" si="70"/>
        <v>1934.3000000000002</v>
      </c>
      <c r="HC64" s="184">
        <f t="shared" si="70"/>
        <v>1934.3000000000002</v>
      </c>
      <c r="HD64" s="184">
        <f t="shared" si="70"/>
        <v>1986.51</v>
      </c>
      <c r="HE64" s="184">
        <f t="shared" si="70"/>
        <v>1986.51</v>
      </c>
      <c r="HF64" s="184">
        <f t="shared" ref="HF64:IR64" si="71">HF63*0.223</f>
        <v>1926.0509999999999</v>
      </c>
      <c r="HG64" s="184">
        <f t="shared" si="71"/>
        <v>2029.077</v>
      </c>
      <c r="HH64" s="184">
        <f t="shared" si="71"/>
        <v>2032.422</v>
      </c>
      <c r="HI64" s="184">
        <f t="shared" si="71"/>
        <v>2037.5509999999999</v>
      </c>
      <c r="HJ64" s="184">
        <f t="shared" si="71"/>
        <v>2043.126</v>
      </c>
      <c r="HK64" s="184">
        <f t="shared" si="71"/>
        <v>2066.0950000000003</v>
      </c>
      <c r="HL64" s="184">
        <f t="shared" si="71"/>
        <v>2072.3389999999999</v>
      </c>
      <c r="HM64" s="184">
        <f t="shared" si="71"/>
        <v>2072.3389999999999</v>
      </c>
      <c r="HN64" s="184">
        <f t="shared" si="71"/>
        <v>2072.3389999999999</v>
      </c>
      <c r="HO64" s="184">
        <f t="shared" si="71"/>
        <v>2072.3389999999999</v>
      </c>
      <c r="HP64" s="184">
        <f t="shared" si="71"/>
        <v>2084.1579999999999</v>
      </c>
      <c r="HQ64" s="184">
        <f t="shared" si="71"/>
        <v>2084.1579999999999</v>
      </c>
      <c r="HR64" s="184">
        <f t="shared" si="71"/>
        <v>2084.1579999999999</v>
      </c>
      <c r="HS64" s="184">
        <f t="shared" si="71"/>
        <v>2084.1579999999999</v>
      </c>
      <c r="HT64" s="184">
        <f t="shared" si="71"/>
        <v>2107.5729999999999</v>
      </c>
      <c r="HU64" s="184">
        <f t="shared" si="71"/>
        <v>2107.5729999999999</v>
      </c>
      <c r="HV64" s="184">
        <f t="shared" si="71"/>
        <v>2107.5729999999999</v>
      </c>
      <c r="HW64" s="184">
        <f t="shared" si="71"/>
        <v>2107.5729999999999</v>
      </c>
      <c r="HX64" s="184">
        <f t="shared" si="71"/>
        <v>2143.4760000000001</v>
      </c>
      <c r="HY64" s="184">
        <f t="shared" si="71"/>
        <v>2143.4760000000001</v>
      </c>
      <c r="HZ64" s="184">
        <f t="shared" si="71"/>
        <v>2144.3679999999999</v>
      </c>
      <c r="IA64" s="184">
        <f t="shared" si="71"/>
        <v>2144.3679999999999</v>
      </c>
      <c r="IB64" s="184">
        <f t="shared" si="71"/>
        <v>2177.1489999999999</v>
      </c>
      <c r="IC64" s="184">
        <f t="shared" si="71"/>
        <v>2189.4140000000002</v>
      </c>
      <c r="ID64" s="184">
        <f t="shared" si="71"/>
        <v>2189.86</v>
      </c>
      <c r="IE64" s="184">
        <f t="shared" si="71"/>
        <v>2189.86</v>
      </c>
      <c r="IF64" s="184">
        <f t="shared" si="71"/>
        <v>2189.86</v>
      </c>
      <c r="IG64" s="184">
        <f t="shared" si="71"/>
        <v>2189.86</v>
      </c>
      <c r="IH64" s="184">
        <f t="shared" si="71"/>
        <v>2189.86</v>
      </c>
      <c r="II64" s="184">
        <f t="shared" si="71"/>
        <v>2189.86</v>
      </c>
      <c r="IJ64" s="184">
        <f t="shared" si="71"/>
        <v>2204.355</v>
      </c>
      <c r="IK64" s="184">
        <f t="shared" si="71"/>
        <v>2209.4839999999999</v>
      </c>
      <c r="IL64" s="184">
        <f t="shared" si="71"/>
        <v>2209.4839999999999</v>
      </c>
      <c r="IM64" s="184">
        <f t="shared" si="71"/>
        <v>2209.4839999999999</v>
      </c>
      <c r="IN64" s="184">
        <f t="shared" si="71"/>
        <v>2364.915</v>
      </c>
      <c r="IO64" s="184">
        <f t="shared" si="71"/>
        <v>2364.915</v>
      </c>
      <c r="IP64" s="184">
        <f t="shared" si="71"/>
        <v>2647.6790000000001</v>
      </c>
      <c r="IQ64" s="184">
        <f t="shared" si="71"/>
        <v>3766.0239999999999</v>
      </c>
      <c r="IR64" s="184">
        <f t="shared" si="71"/>
        <v>3766.0239999999999</v>
      </c>
      <c r="IS64" s="184">
        <f>IS63*0.23</f>
        <v>4306.29</v>
      </c>
      <c r="ZL64" s="182" t="str">
        <f t="shared" si="1"/>
        <v>CONAKRY -LYON</v>
      </c>
      <c r="ZM64" s="183" t="s">
        <v>551</v>
      </c>
      <c r="ZN64" s="182" t="s">
        <v>517</v>
      </c>
      <c r="ZO64" s="182">
        <v>4398</v>
      </c>
      <c r="ZP64" s="198">
        <v>1350.1859999999999</v>
      </c>
      <c r="ZQ64" s="193"/>
      <c r="ZR64" s="193"/>
      <c r="ZS64" s="193"/>
      <c r="ZT64" s="193"/>
    </row>
    <row r="65" spans="4:696" ht="28.8">
      <c r="D65" s="735"/>
      <c r="E65" s="196" t="s">
        <v>342</v>
      </c>
      <c r="F65" s="196">
        <f>SUM(F64:IS64)*0.001</f>
        <v>188.69152399999993</v>
      </c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2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O65" s="92"/>
      <c r="DP65" s="92"/>
      <c r="DQ65" s="92"/>
      <c r="DR65" s="92"/>
      <c r="DS65" s="92"/>
      <c r="DT65" s="92"/>
      <c r="DU65" s="92"/>
      <c r="DV65" s="92"/>
      <c r="DW65" s="92"/>
      <c r="DX65" s="92"/>
      <c r="DY65" s="92"/>
      <c r="DZ65" s="92"/>
      <c r="EA65" s="92"/>
      <c r="EB65" s="92"/>
      <c r="EC65" s="92"/>
      <c r="ED65" s="92"/>
      <c r="EE65" s="92"/>
      <c r="EF65" s="92"/>
      <c r="EG65" s="92"/>
      <c r="EH65" s="92"/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92"/>
      <c r="FP65" s="92"/>
      <c r="FQ65" s="92"/>
      <c r="FR65" s="92"/>
      <c r="FS65" s="92"/>
      <c r="FT65" s="92"/>
      <c r="FU65" s="92"/>
      <c r="FV65" s="92"/>
      <c r="FW65" s="92"/>
      <c r="FX65" s="92"/>
      <c r="FY65" s="92"/>
      <c r="FZ65" s="92"/>
      <c r="GA65" s="92"/>
      <c r="GB65" s="92"/>
      <c r="GC65" s="92"/>
      <c r="GD65" s="92"/>
      <c r="GE65" s="92"/>
      <c r="GF65" s="92"/>
      <c r="GG65" s="92"/>
      <c r="GH65" s="92"/>
      <c r="GI65" s="92"/>
      <c r="GJ65" s="92"/>
      <c r="GK65" s="92"/>
      <c r="GL65" s="92"/>
      <c r="GM65" s="92"/>
      <c r="GN65" s="92"/>
      <c r="GO65" s="92"/>
      <c r="GP65" s="92"/>
      <c r="GQ65" s="92"/>
      <c r="GR65" s="92"/>
      <c r="GS65" s="92"/>
      <c r="GT65" s="92"/>
      <c r="GU65" s="92"/>
      <c r="GV65" s="92"/>
      <c r="GW65" s="92"/>
      <c r="GX65" s="92"/>
      <c r="GY65" s="92"/>
      <c r="GZ65" s="92"/>
      <c r="HA65" s="92"/>
      <c r="HB65" s="92"/>
      <c r="HC65" s="92"/>
      <c r="HD65" s="92"/>
      <c r="HE65" s="92"/>
      <c r="HF65" s="92"/>
      <c r="HG65" s="92"/>
      <c r="HH65" s="92"/>
      <c r="HI65" s="92"/>
      <c r="HJ65" s="92"/>
      <c r="HK65" s="92"/>
      <c r="HL65" s="92"/>
      <c r="HM65" s="92"/>
      <c r="HN65" s="92"/>
      <c r="HO65" s="92"/>
      <c r="HP65" s="92"/>
      <c r="HQ65" s="92"/>
      <c r="HR65" s="92"/>
      <c r="HS65" s="92"/>
      <c r="HT65" s="92"/>
      <c r="HU65" s="92"/>
      <c r="HV65" s="92"/>
      <c r="HW65" s="92"/>
      <c r="HX65" s="92"/>
      <c r="HY65" s="92"/>
      <c r="HZ65" s="92"/>
      <c r="IA65" s="92"/>
      <c r="IB65" s="92"/>
      <c r="IC65" s="92"/>
      <c r="ID65" s="92"/>
      <c r="IE65" s="92"/>
      <c r="IF65" s="92"/>
      <c r="IG65" s="92"/>
      <c r="IH65" s="92"/>
      <c r="II65" s="92"/>
      <c r="IJ65" s="92"/>
      <c r="IK65" s="92"/>
      <c r="IL65" s="92"/>
      <c r="IM65" s="92"/>
      <c r="IN65" s="92"/>
      <c r="IO65" s="92"/>
      <c r="IP65" s="92"/>
      <c r="IQ65" s="92"/>
      <c r="IR65" s="92"/>
      <c r="IS65" s="92"/>
      <c r="ZL65" s="182" t="str">
        <f t="shared" si="1"/>
        <v>COPENHAGUE -LYON</v>
      </c>
      <c r="ZM65" s="183" t="s">
        <v>552</v>
      </c>
      <c r="ZN65" s="182" t="s">
        <v>517</v>
      </c>
      <c r="ZO65" s="182">
        <v>1194</v>
      </c>
      <c r="ZP65" s="198">
        <v>308.05200000000002</v>
      </c>
      <c r="ZQ65" s="92"/>
      <c r="ZR65" s="92"/>
      <c r="ZS65" s="92"/>
      <c r="ZT65" s="92"/>
    </row>
    <row r="66" spans="4:696" ht="28.8">
      <c r="ZL66" s="182" t="str">
        <f t="shared" si="1"/>
        <v>COPENHAGUE -LYON</v>
      </c>
      <c r="ZM66" s="183" t="s">
        <v>552</v>
      </c>
      <c r="ZN66" s="182" t="s">
        <v>517</v>
      </c>
      <c r="ZO66" s="182">
        <v>1194</v>
      </c>
      <c r="ZP66" s="198">
        <v>284.17199999999997</v>
      </c>
      <c r="ZQ66" s="92"/>
      <c r="ZR66" s="92"/>
      <c r="ZS66" s="92"/>
      <c r="ZT66" s="92"/>
    </row>
    <row r="67" spans="4:696" ht="43.2">
      <c r="ZL67" s="182" t="str">
        <f t="shared" si="1"/>
        <v>COPENHAGUE -LONDRES</v>
      </c>
      <c r="ZM67" s="183" t="s">
        <v>552</v>
      </c>
      <c r="ZN67" s="182" t="s">
        <v>553</v>
      </c>
      <c r="ZO67" s="182">
        <v>955</v>
      </c>
      <c r="ZP67" s="198">
        <v>299.87</v>
      </c>
      <c r="ZQ67" s="92"/>
      <c r="ZR67" s="92"/>
      <c r="ZS67" s="92"/>
      <c r="ZT67" s="92"/>
    </row>
    <row r="68" spans="4:696" ht="28.8">
      <c r="ZL68" s="182" t="str">
        <f t="shared" ref="ZL68:ZL117" si="72">CONCATENATE(ZM68," -",ZN68)</f>
        <v>LYON -BREST</v>
      </c>
      <c r="ZM68" s="183" t="s">
        <v>517</v>
      </c>
      <c r="ZN68" s="182" t="s">
        <v>536</v>
      </c>
      <c r="ZO68" s="182">
        <v>763</v>
      </c>
      <c r="ZP68" s="198">
        <v>239.58199999999999</v>
      </c>
      <c r="ZQ68" s="92"/>
      <c r="ZR68" s="92"/>
      <c r="ZS68" s="92"/>
      <c r="ZT68" s="92"/>
    </row>
    <row r="69" spans="4:696" ht="28.8">
      <c r="ZL69" s="182" t="str">
        <f t="shared" si="72"/>
        <v>LYON -DUBLIN</v>
      </c>
      <c r="ZM69" s="183" t="s">
        <v>517</v>
      </c>
      <c r="ZN69" s="182" t="s">
        <v>556</v>
      </c>
      <c r="ZO69" s="182">
        <v>1159</v>
      </c>
      <c r="ZP69" s="198">
        <v>299.02199999999999</v>
      </c>
      <c r="ZQ69" s="92"/>
      <c r="ZR69" s="92"/>
      <c r="ZS69" s="92"/>
      <c r="ZT69" s="92"/>
    </row>
    <row r="70" spans="4:696">
      <c r="ZL70" s="182" t="str">
        <f t="shared" si="72"/>
        <v>LYON -CLUJ</v>
      </c>
      <c r="ZM70" s="183" t="s">
        <v>517</v>
      </c>
      <c r="ZN70" s="182" t="s">
        <v>570</v>
      </c>
      <c r="ZO70" s="182">
        <v>1443</v>
      </c>
      <c r="ZP70" s="198">
        <v>372.29399999999998</v>
      </c>
      <c r="ZQ70" s="92"/>
      <c r="ZR70" s="92"/>
      <c r="ZS70" s="92"/>
      <c r="ZT70" s="92"/>
    </row>
    <row r="71" spans="4:696" ht="28.8">
      <c r="ZL71" s="182" t="str">
        <f t="shared" si="72"/>
        <v>LYON -ANTALYA</v>
      </c>
      <c r="ZM71" s="183" t="s">
        <v>517</v>
      </c>
      <c r="ZN71" s="182" t="s">
        <v>694</v>
      </c>
      <c r="ZO71" s="182">
        <v>2366</v>
      </c>
      <c r="ZP71" s="198">
        <v>494.49399999999997</v>
      </c>
      <c r="ZQ71" s="92"/>
      <c r="ZR71" s="92"/>
      <c r="ZS71" s="92"/>
      <c r="ZT71" s="92"/>
    </row>
    <row r="72" spans="4:696" ht="28.8">
      <c r="ZL72" s="182" t="str">
        <f t="shared" si="72"/>
        <v>MADRID -BARCELONE</v>
      </c>
      <c r="ZM72" s="183" t="s">
        <v>542</v>
      </c>
      <c r="ZN72" s="182" t="s">
        <v>524</v>
      </c>
      <c r="ZO72" s="182">
        <v>504</v>
      </c>
      <c r="ZP72" s="198">
        <v>158.256</v>
      </c>
      <c r="ZQ72" s="92"/>
      <c r="ZR72" s="92"/>
      <c r="ZS72" s="92"/>
      <c r="ZT72" s="92"/>
    </row>
    <row r="73" spans="4:696" ht="28.8">
      <c r="ZL73" s="182" t="str">
        <f t="shared" si="72"/>
        <v>MADRID -LYON</v>
      </c>
      <c r="ZM73" s="183" t="s">
        <v>542</v>
      </c>
      <c r="ZN73" s="182" t="s">
        <v>517</v>
      </c>
      <c r="ZO73" s="182">
        <v>912</v>
      </c>
      <c r="ZP73" s="198">
        <v>286.36799999999999</v>
      </c>
      <c r="ZQ73" s="92"/>
      <c r="ZR73" s="92"/>
      <c r="ZS73" s="92"/>
      <c r="ZT73" s="92"/>
    </row>
    <row r="74" spans="4:696" ht="28.8">
      <c r="ZL74" s="182" t="str">
        <f t="shared" si="72"/>
        <v>MADRID -CARACAS</v>
      </c>
      <c r="ZM74" s="183" t="s">
        <v>542</v>
      </c>
      <c r="ZN74" s="182" t="s">
        <v>541</v>
      </c>
      <c r="ZO74" s="182">
        <v>6996</v>
      </c>
      <c r="ZP74" s="198">
        <v>1462.164</v>
      </c>
      <c r="ZQ74" s="92"/>
      <c r="ZR74" s="92"/>
      <c r="ZS74" s="92"/>
      <c r="ZT74" s="92"/>
    </row>
    <row r="75" spans="4:696" ht="28.8">
      <c r="ZL75" s="182" t="str">
        <f t="shared" si="72"/>
        <v>MALAGA -LYON</v>
      </c>
      <c r="ZM75" s="183" t="s">
        <v>667</v>
      </c>
      <c r="ZN75" s="182" t="s">
        <v>517</v>
      </c>
      <c r="ZO75" s="182">
        <v>1266</v>
      </c>
      <c r="ZP75" s="198">
        <v>301.30799999999999</v>
      </c>
      <c r="ZQ75" s="92"/>
      <c r="ZR75" s="92"/>
      <c r="ZS75" s="92"/>
      <c r="ZT75" s="92"/>
    </row>
    <row r="76" spans="4:696" ht="28.8">
      <c r="ZL76" s="182" t="str">
        <f t="shared" si="72"/>
        <v>MANCHESTER -LYON</v>
      </c>
      <c r="ZM76" s="183" t="s">
        <v>624</v>
      </c>
      <c r="ZN76" s="182" t="s">
        <v>517</v>
      </c>
      <c r="ZO76" s="182">
        <v>515</v>
      </c>
      <c r="ZP76" s="198">
        <v>161.71</v>
      </c>
      <c r="ZQ76" s="92"/>
      <c r="ZR76" s="92"/>
      <c r="ZS76" s="92"/>
      <c r="ZT76" s="92"/>
    </row>
    <row r="77" spans="4:696" ht="28.8">
      <c r="ZL77" s="182" t="str">
        <f t="shared" si="72"/>
        <v>MANCHESTER -LYON</v>
      </c>
      <c r="ZM77" s="183" t="s">
        <v>624</v>
      </c>
      <c r="ZN77" s="182" t="s">
        <v>517</v>
      </c>
      <c r="ZO77" s="182">
        <v>1026</v>
      </c>
      <c r="ZP77" s="198">
        <v>264.70800000000003</v>
      </c>
      <c r="ZQ77" s="92"/>
      <c r="ZR77" s="92"/>
      <c r="ZS77" s="92"/>
      <c r="ZT77" s="92"/>
    </row>
    <row r="78" spans="4:696" ht="28.8">
      <c r="ZL78" s="182" t="str">
        <f t="shared" si="72"/>
        <v>MARRAKECH -LYON</v>
      </c>
      <c r="ZM78" s="183" t="s">
        <v>677</v>
      </c>
      <c r="ZN78" s="182" t="s">
        <v>517</v>
      </c>
      <c r="ZO78" s="182">
        <v>1920</v>
      </c>
      <c r="ZP78" s="198">
        <v>456.96</v>
      </c>
      <c r="ZQ78" s="92"/>
      <c r="ZR78" s="92"/>
      <c r="ZS78" s="92"/>
      <c r="ZT78" s="92"/>
    </row>
    <row r="79" spans="4:696" ht="28.8">
      <c r="ZL79" s="182" t="str">
        <f t="shared" si="72"/>
        <v>MARSEILLE -FEZ</v>
      </c>
      <c r="ZM79" s="183" t="s">
        <v>547</v>
      </c>
      <c r="ZN79" s="182" t="s">
        <v>558</v>
      </c>
      <c r="ZO79" s="182">
        <v>1366</v>
      </c>
      <c r="ZP79" s="198">
        <v>352.428</v>
      </c>
      <c r="ZQ79" s="92"/>
      <c r="ZR79" s="92"/>
      <c r="ZS79" s="92"/>
      <c r="ZT79" s="92"/>
    </row>
    <row r="80" spans="4:696" ht="43.2">
      <c r="ZL80" s="182" t="str">
        <f t="shared" si="72"/>
        <v>MARSEILLE -CASABLANCA</v>
      </c>
      <c r="ZM80" s="183" t="s">
        <v>547</v>
      </c>
      <c r="ZN80" s="182" t="s">
        <v>545</v>
      </c>
      <c r="ZO80" s="182">
        <v>1560</v>
      </c>
      <c r="ZP80" s="198">
        <v>402.48</v>
      </c>
      <c r="ZQ80" s="92"/>
      <c r="ZR80" s="92"/>
      <c r="ZS80" s="92"/>
      <c r="ZT80" s="92"/>
    </row>
    <row r="81" spans="688:696" ht="28.8">
      <c r="ZL81" s="182" t="str">
        <f t="shared" si="72"/>
        <v>MARSEILLE -BELGRADE</v>
      </c>
      <c r="ZM81" s="183" t="s">
        <v>547</v>
      </c>
      <c r="ZN81" s="182" t="s">
        <v>528</v>
      </c>
      <c r="ZO81" s="182">
        <v>1215</v>
      </c>
      <c r="ZP81" s="198">
        <v>313.47000000000003</v>
      </c>
      <c r="ZQ81" s="92"/>
      <c r="ZR81" s="92"/>
      <c r="ZS81" s="92"/>
      <c r="ZT81" s="92"/>
    </row>
    <row r="82" spans="688:696" ht="28.8">
      <c r="ZL82" s="182" t="str">
        <f t="shared" si="72"/>
        <v>MARSEILLE -BASTIA</v>
      </c>
      <c r="ZM82" s="183" t="s">
        <v>547</v>
      </c>
      <c r="ZN82" s="182" t="s">
        <v>695</v>
      </c>
      <c r="ZO82" s="182">
        <v>338</v>
      </c>
      <c r="ZP82" s="198">
        <v>106.13200000000001</v>
      </c>
      <c r="ZQ82" s="92"/>
      <c r="ZR82" s="92"/>
      <c r="ZS82" s="92"/>
      <c r="ZT82" s="92"/>
    </row>
    <row r="83" spans="688:696" ht="28.8">
      <c r="ZL83" s="182" t="str">
        <f t="shared" si="72"/>
        <v>MARSEILLE -PARIS</v>
      </c>
      <c r="ZM83" s="183" t="s">
        <v>547</v>
      </c>
      <c r="ZN83" s="182" t="s">
        <v>526</v>
      </c>
      <c r="ZO83" s="182">
        <v>660</v>
      </c>
      <c r="ZP83" s="198">
        <v>207.24</v>
      </c>
      <c r="ZQ83" s="92"/>
      <c r="ZR83" s="92"/>
      <c r="ZS83" s="92"/>
      <c r="ZT83" s="92"/>
    </row>
    <row r="84" spans="688:696" ht="28.8">
      <c r="ZL84" s="182" t="str">
        <f t="shared" si="72"/>
        <v>MARSEILLE -HERAKLION</v>
      </c>
      <c r="ZM84" s="183" t="s">
        <v>547</v>
      </c>
      <c r="ZN84" s="182" t="s">
        <v>627</v>
      </c>
      <c r="ZO84" s="182">
        <v>1911</v>
      </c>
      <c r="ZP84" s="198">
        <v>454.81799999999998</v>
      </c>
      <c r="ZQ84" s="92"/>
      <c r="ZR84" s="92"/>
      <c r="ZS84" s="92"/>
      <c r="ZT84" s="92"/>
    </row>
    <row r="85" spans="688:696" ht="43.2">
      <c r="ZL85" s="182" t="str">
        <f t="shared" si="72"/>
        <v>MARSEILLE -CASABLANCA</v>
      </c>
      <c r="ZM85" s="183" t="s">
        <v>547</v>
      </c>
      <c r="ZN85" s="182" t="s">
        <v>545</v>
      </c>
      <c r="ZO85" s="182">
        <v>1362</v>
      </c>
      <c r="ZP85" s="198">
        <v>324.15600000000001</v>
      </c>
      <c r="ZQ85" s="92"/>
      <c r="ZR85" s="92"/>
      <c r="ZS85" s="92"/>
      <c r="ZT85" s="92"/>
    </row>
    <row r="86" spans="688:696" ht="43.2">
      <c r="ZL86" s="182" t="str">
        <f t="shared" si="72"/>
        <v>METZ NANCY -LYON</v>
      </c>
      <c r="ZM86" s="183" t="s">
        <v>669</v>
      </c>
      <c r="ZN86" s="182" t="s">
        <v>517</v>
      </c>
      <c r="ZO86" s="182">
        <v>374</v>
      </c>
      <c r="ZP86" s="198">
        <v>117.43600000000001</v>
      </c>
      <c r="ZQ86" s="92"/>
      <c r="ZR86" s="92"/>
      <c r="ZS86" s="92"/>
      <c r="ZT86" s="92"/>
    </row>
    <row r="87" spans="688:696" ht="28.8">
      <c r="ZL87" s="182" t="str">
        <f t="shared" si="72"/>
        <v>MEXICO -MERIDA</v>
      </c>
      <c r="ZM87" s="183" t="s">
        <v>635</v>
      </c>
      <c r="ZN87" s="182" t="s">
        <v>696</v>
      </c>
      <c r="ZO87" s="182">
        <v>1007</v>
      </c>
      <c r="ZP87" s="198">
        <v>259.80599999999998</v>
      </c>
      <c r="ZQ87" s="92"/>
      <c r="ZR87" s="92"/>
      <c r="ZS87" s="92"/>
      <c r="ZT87" s="92"/>
    </row>
    <row r="88" spans="688:696" ht="28.8">
      <c r="ZL88" s="182" t="str">
        <f t="shared" si="72"/>
        <v>MEXICO -PARIS</v>
      </c>
      <c r="ZM88" s="183" t="s">
        <v>635</v>
      </c>
      <c r="ZN88" s="182" t="s">
        <v>526</v>
      </c>
      <c r="ZO88" s="182">
        <v>9199</v>
      </c>
      <c r="ZP88" s="198">
        <v>2051.377</v>
      </c>
      <c r="ZQ88" s="92"/>
      <c r="ZR88" s="92"/>
      <c r="ZS88" s="92"/>
      <c r="ZT88" s="92"/>
    </row>
    <row r="89" spans="688:696" ht="28.8">
      <c r="ZL89" s="182" t="str">
        <f t="shared" si="72"/>
        <v>MILAN -MUNICH</v>
      </c>
      <c r="ZM89" s="183" t="s">
        <v>596</v>
      </c>
      <c r="ZN89" s="182" t="s">
        <v>521</v>
      </c>
      <c r="ZO89" s="182">
        <v>348</v>
      </c>
      <c r="ZP89" s="198">
        <v>109.27200000000001</v>
      </c>
      <c r="ZQ89" s="92"/>
      <c r="ZR89" s="92"/>
      <c r="ZS89" s="92"/>
      <c r="ZT89" s="92"/>
    </row>
    <row r="90" spans="688:696" ht="28.8">
      <c r="ZL90" s="182" t="str">
        <f t="shared" si="72"/>
        <v>MILAN -TOULOUSE</v>
      </c>
      <c r="ZM90" s="183" t="s">
        <v>596</v>
      </c>
      <c r="ZN90" s="182" t="s">
        <v>546</v>
      </c>
      <c r="ZO90" s="182">
        <v>647</v>
      </c>
      <c r="ZP90" s="198">
        <v>203.15799999999999</v>
      </c>
      <c r="ZQ90" s="92"/>
      <c r="ZR90" s="92"/>
      <c r="ZS90" s="92"/>
      <c r="ZT90" s="92"/>
    </row>
    <row r="91" spans="688:696" ht="28.8">
      <c r="ZL91" s="182" t="str">
        <f t="shared" si="72"/>
        <v>MILAN -LYON</v>
      </c>
      <c r="ZM91" s="183" t="s">
        <v>596</v>
      </c>
      <c r="ZN91" s="182" t="s">
        <v>517</v>
      </c>
      <c r="ZO91" s="182">
        <v>340</v>
      </c>
      <c r="ZP91" s="198">
        <v>106.76</v>
      </c>
      <c r="ZQ91" s="92"/>
      <c r="ZR91" s="92"/>
      <c r="ZS91" s="92"/>
      <c r="ZT91" s="92"/>
    </row>
    <row r="92" spans="688:696" ht="28.8">
      <c r="ZL92" s="182" t="str">
        <f t="shared" si="72"/>
        <v>MONTPELLIER -SEOUL</v>
      </c>
      <c r="ZM92" s="183" t="s">
        <v>697</v>
      </c>
      <c r="ZN92" s="182" t="s">
        <v>580</v>
      </c>
      <c r="ZO92" s="182">
        <v>9326</v>
      </c>
      <c r="ZP92" s="198">
        <v>2079.6979999999999</v>
      </c>
      <c r="ZQ92" s="92"/>
      <c r="ZR92" s="92"/>
      <c r="ZS92" s="92"/>
      <c r="ZT92" s="92"/>
    </row>
    <row r="93" spans="688:696" ht="28.8">
      <c r="ZL93" s="182" t="str">
        <f t="shared" si="72"/>
        <v>MONTREAL -LYON</v>
      </c>
      <c r="ZM93" s="183" t="s">
        <v>605</v>
      </c>
      <c r="ZN93" s="182" t="s">
        <v>517</v>
      </c>
      <c r="ZO93" s="182">
        <v>5836</v>
      </c>
      <c r="ZP93" s="198">
        <v>1301.4280000000001</v>
      </c>
      <c r="ZQ93" s="92"/>
      <c r="ZR93" s="92"/>
      <c r="ZS93" s="92"/>
      <c r="ZT93" s="92"/>
    </row>
    <row r="94" spans="688:696" ht="28.8">
      <c r="ZL94" s="182" t="str">
        <f t="shared" si="72"/>
        <v>MOSCOU -LYON</v>
      </c>
      <c r="ZM94" s="183" t="s">
        <v>680</v>
      </c>
      <c r="ZN94" s="182" t="s">
        <v>517</v>
      </c>
      <c r="ZO94" s="182">
        <v>2529</v>
      </c>
      <c r="ZP94" s="198">
        <v>528.56099999999992</v>
      </c>
      <c r="ZQ94" s="92"/>
      <c r="ZR94" s="92"/>
      <c r="ZS94" s="92"/>
      <c r="ZT94" s="92"/>
    </row>
    <row r="95" spans="688:696" ht="28.8">
      <c r="ZL95" s="182" t="str">
        <f t="shared" si="72"/>
        <v>MUNICH -LYON</v>
      </c>
      <c r="ZM95" s="183" t="s">
        <v>521</v>
      </c>
      <c r="ZN95" s="182" t="s">
        <v>517</v>
      </c>
      <c r="ZO95" s="182">
        <v>576</v>
      </c>
      <c r="ZP95" s="198">
        <v>180.864</v>
      </c>
      <c r="ZQ95" s="92"/>
      <c r="ZR95" s="92"/>
      <c r="ZS95" s="92"/>
      <c r="ZT95" s="92"/>
    </row>
    <row r="96" spans="688:696" ht="28.8">
      <c r="ZL96" s="182" t="str">
        <f t="shared" si="72"/>
        <v>NANTES -LYON</v>
      </c>
      <c r="ZM96" s="183" t="s">
        <v>573</v>
      </c>
      <c r="ZN96" s="182" t="s">
        <v>517</v>
      </c>
      <c r="ZO96" s="182">
        <v>515</v>
      </c>
      <c r="ZP96" s="198">
        <v>161.71</v>
      </c>
      <c r="ZQ96" s="92"/>
      <c r="ZR96" s="92"/>
      <c r="ZS96" s="92"/>
      <c r="ZT96" s="92"/>
    </row>
    <row r="97" spans="688:696" ht="43.2">
      <c r="ZL97" s="182" t="str">
        <f t="shared" si="72"/>
        <v>NANTES -PHILADELPHIE</v>
      </c>
      <c r="ZM97" s="183" t="s">
        <v>573</v>
      </c>
      <c r="ZN97" s="182" t="s">
        <v>685</v>
      </c>
      <c r="ZO97" s="182">
        <v>5763</v>
      </c>
      <c r="ZP97" s="198">
        <v>1285.1490000000001</v>
      </c>
      <c r="ZQ97" s="92"/>
      <c r="ZR97" s="92"/>
      <c r="ZS97" s="92"/>
      <c r="ZT97" s="92"/>
    </row>
    <row r="98" spans="688:696" ht="43.2">
      <c r="ZL98" s="182" t="str">
        <f t="shared" si="72"/>
        <v>NANTES -CASABLANCA</v>
      </c>
      <c r="ZM98" s="183" t="s">
        <v>573</v>
      </c>
      <c r="ZN98" s="182" t="s">
        <v>545</v>
      </c>
      <c r="ZO98" s="182">
        <v>1599</v>
      </c>
      <c r="ZP98" s="198">
        <v>380.56199999999995</v>
      </c>
      <c r="ZQ98" s="92"/>
      <c r="ZR98" s="92"/>
      <c r="ZS98" s="92"/>
      <c r="ZT98" s="92"/>
    </row>
    <row r="99" spans="688:696" ht="28.8">
      <c r="ZL99" s="182" t="str">
        <f t="shared" si="72"/>
        <v>NANTES -LYON</v>
      </c>
      <c r="ZM99" s="183" t="s">
        <v>573</v>
      </c>
      <c r="ZN99" s="182" t="s">
        <v>517</v>
      </c>
      <c r="ZO99" s="182">
        <v>931</v>
      </c>
      <c r="ZP99" s="198">
        <v>292.334</v>
      </c>
      <c r="ZQ99" s="92"/>
      <c r="ZR99" s="92"/>
      <c r="ZS99" s="92"/>
      <c r="ZT99" s="92"/>
    </row>
    <row r="100" spans="688:696" ht="28.8">
      <c r="ZL100" s="182" t="str">
        <f t="shared" si="72"/>
        <v>NAPLES -PALERME</v>
      </c>
      <c r="ZM100" s="183" t="s">
        <v>674</v>
      </c>
      <c r="ZN100" s="182" t="s">
        <v>569</v>
      </c>
      <c r="ZO100" s="182">
        <v>312</v>
      </c>
      <c r="ZP100" s="198">
        <v>97.968000000000004</v>
      </c>
      <c r="ZQ100" s="92"/>
      <c r="ZR100" s="92"/>
      <c r="ZS100" s="92"/>
      <c r="ZT100" s="92"/>
    </row>
    <row r="101" spans="688:696" ht="28.8">
      <c r="ZL101" s="182" t="str">
        <f t="shared" si="72"/>
        <v>NAPLES -LYON</v>
      </c>
      <c r="ZM101" s="183" t="s">
        <v>674</v>
      </c>
      <c r="ZN101" s="182" t="s">
        <v>517</v>
      </c>
      <c r="ZO101" s="182">
        <v>937</v>
      </c>
      <c r="ZP101" s="198">
        <v>294.21800000000002</v>
      </c>
      <c r="ZQ101" s="92"/>
      <c r="ZR101" s="92"/>
      <c r="ZS101" s="92"/>
      <c r="ZT101" s="92"/>
    </row>
    <row r="102" spans="688:696" ht="28.8">
      <c r="ZL102" s="182" t="str">
        <f t="shared" si="72"/>
        <v>NDJAMENA -LYON</v>
      </c>
      <c r="ZM102" s="183" t="s">
        <v>644</v>
      </c>
      <c r="ZN102" s="182" t="s">
        <v>517</v>
      </c>
      <c r="ZO102" s="182">
        <v>3865</v>
      </c>
      <c r="ZP102" s="198">
        <v>888.95</v>
      </c>
      <c r="ZQ102" s="92"/>
      <c r="ZR102" s="92"/>
      <c r="ZS102" s="92"/>
      <c r="ZT102" s="92"/>
    </row>
    <row r="103" spans="688:696" ht="28.8">
      <c r="ZL103" s="182" t="str">
        <f t="shared" si="72"/>
        <v>NDJAMENA -PARIS</v>
      </c>
      <c r="ZM103" s="183" t="s">
        <v>644</v>
      </c>
      <c r="ZN103" s="182" t="s">
        <v>526</v>
      </c>
      <c r="ZO103" s="182">
        <v>4252</v>
      </c>
      <c r="ZP103" s="198">
        <v>1305.364</v>
      </c>
      <c r="ZQ103" s="92"/>
      <c r="ZR103" s="92"/>
      <c r="ZS103" s="92"/>
      <c r="ZT103" s="92"/>
    </row>
    <row r="104" spans="688:696" ht="28.8">
      <c r="ZL104" s="182" t="str">
        <f t="shared" si="72"/>
        <v>NDJAMENA -DAKAR</v>
      </c>
      <c r="ZM104" s="183" t="s">
        <v>644</v>
      </c>
      <c r="ZN104" s="182" t="s">
        <v>548</v>
      </c>
      <c r="ZO104" s="182">
        <v>3524</v>
      </c>
      <c r="ZP104" s="198">
        <v>810.52</v>
      </c>
      <c r="ZQ104" s="92"/>
      <c r="ZR104" s="92"/>
      <c r="ZS104" s="92"/>
      <c r="ZT104" s="92"/>
    </row>
    <row r="105" spans="688:696" ht="28.8">
      <c r="ZL105" s="182" t="str">
        <f t="shared" si="72"/>
        <v>NEW YORK -PITTSBURGH</v>
      </c>
      <c r="ZM105" s="183" t="s">
        <v>571</v>
      </c>
      <c r="ZN105" s="182" t="s">
        <v>698</v>
      </c>
      <c r="ZO105" s="182">
        <v>469</v>
      </c>
      <c r="ZP105" s="198">
        <v>147.26599999999999</v>
      </c>
      <c r="ZQ105" s="92"/>
      <c r="ZR105" s="92"/>
      <c r="ZS105" s="92"/>
      <c r="ZT105" s="92"/>
    </row>
    <row r="106" spans="688:696">
      <c r="ZL106" s="182" t="str">
        <f t="shared" si="72"/>
        <v>NICE -LYON</v>
      </c>
      <c r="ZM106" s="183" t="s">
        <v>620</v>
      </c>
      <c r="ZN106" s="182" t="s">
        <v>517</v>
      </c>
      <c r="ZO106" s="182">
        <v>299</v>
      </c>
      <c r="ZP106" s="198">
        <v>93.885999999999996</v>
      </c>
      <c r="ZQ106" s="92"/>
      <c r="ZR106" s="92"/>
      <c r="ZS106" s="92"/>
      <c r="ZT106" s="92"/>
    </row>
    <row r="107" spans="688:696" ht="28.8">
      <c r="ZL107" s="182" t="str">
        <f t="shared" si="72"/>
        <v>NICE -MUNICH</v>
      </c>
      <c r="ZM107" s="183" t="s">
        <v>620</v>
      </c>
      <c r="ZN107" s="182" t="s">
        <v>521</v>
      </c>
      <c r="ZO107" s="182">
        <v>595</v>
      </c>
      <c r="ZP107" s="198">
        <v>186.83</v>
      </c>
      <c r="ZQ107" s="92"/>
      <c r="ZR107" s="92"/>
      <c r="ZS107" s="92"/>
      <c r="ZT107" s="92"/>
    </row>
    <row r="108" spans="688:696">
      <c r="ZL108" s="182" t="str">
        <f t="shared" si="72"/>
        <v>NICE -LYON</v>
      </c>
      <c r="ZM108" s="183" t="s">
        <v>620</v>
      </c>
      <c r="ZN108" s="182" t="s">
        <v>517</v>
      </c>
      <c r="ZO108" s="182">
        <v>298</v>
      </c>
      <c r="ZP108" s="198">
        <v>93.572000000000003</v>
      </c>
      <c r="ZQ108" s="92"/>
      <c r="ZR108" s="92"/>
      <c r="ZS108" s="92"/>
      <c r="ZT108" s="92"/>
    </row>
    <row r="109" spans="688:696">
      <c r="ZL109" s="182" t="str">
        <f t="shared" si="72"/>
        <v>NICE -PARIS</v>
      </c>
      <c r="ZM109" s="183" t="s">
        <v>620</v>
      </c>
      <c r="ZN109" s="182" t="s">
        <v>526</v>
      </c>
      <c r="ZO109" s="182">
        <v>686</v>
      </c>
      <c r="ZP109" s="198">
        <v>215.404</v>
      </c>
      <c r="ZQ109" s="92"/>
      <c r="ZR109" s="92"/>
      <c r="ZS109" s="92"/>
      <c r="ZT109" s="92"/>
    </row>
    <row r="110" spans="688:696" ht="28.8">
      <c r="ZL110" s="182" t="str">
        <f t="shared" si="72"/>
        <v>NICE -BIARRITZ</v>
      </c>
      <c r="ZM110" s="183" t="s">
        <v>620</v>
      </c>
      <c r="ZN110" s="182" t="s">
        <v>529</v>
      </c>
      <c r="ZO110" s="182">
        <v>711</v>
      </c>
      <c r="ZP110" s="198">
        <v>223.25399999999999</v>
      </c>
      <c r="ZQ110" s="92"/>
      <c r="ZR110" s="92"/>
      <c r="ZS110" s="92"/>
      <c r="ZT110" s="92"/>
    </row>
    <row r="111" spans="688:696" ht="28.8">
      <c r="ZL111" s="182" t="str">
        <f t="shared" si="72"/>
        <v>NICE -HONG KONG</v>
      </c>
      <c r="ZM111" s="183" t="s">
        <v>620</v>
      </c>
      <c r="ZN111" s="182" t="s">
        <v>584</v>
      </c>
      <c r="ZO111" s="182">
        <v>9466</v>
      </c>
      <c r="ZP111" s="198">
        <v>2110.9180000000001</v>
      </c>
      <c r="ZQ111" s="92"/>
      <c r="ZR111" s="92"/>
      <c r="ZS111" s="92"/>
      <c r="ZT111" s="92"/>
    </row>
    <row r="112" spans="688:696" ht="43.2">
      <c r="ZL112" s="182" t="str">
        <f t="shared" si="72"/>
        <v>NICE -MINNEAPOLIS</v>
      </c>
      <c r="ZM112" s="183" t="s">
        <v>620</v>
      </c>
      <c r="ZN112" s="182" t="s">
        <v>689</v>
      </c>
      <c r="ZO112" s="182">
        <v>7423</v>
      </c>
      <c r="ZP112" s="198">
        <v>1551.4069999999999</v>
      </c>
      <c r="ZQ112" s="92"/>
      <c r="ZR112" s="92"/>
      <c r="ZS112" s="92"/>
      <c r="ZT112" s="92"/>
    </row>
    <row r="113" spans="688:696" ht="28.8">
      <c r="ZL113" s="182" t="str">
        <f t="shared" si="72"/>
        <v>OUAGADOUGOU -LYON</v>
      </c>
      <c r="ZM113" s="183" t="s">
        <v>658</v>
      </c>
      <c r="ZN113" s="182" t="s">
        <v>517</v>
      </c>
      <c r="ZO113" s="182">
        <v>3762</v>
      </c>
      <c r="ZP113" s="198">
        <v>865.26</v>
      </c>
      <c r="ZQ113" s="92"/>
      <c r="ZR113" s="92"/>
      <c r="ZS113" s="92"/>
      <c r="ZT113" s="92"/>
    </row>
    <row r="114" spans="688:696" ht="28.8">
      <c r="ZL114" s="182" t="str">
        <f t="shared" si="72"/>
        <v>OUJDA -PARIS</v>
      </c>
      <c r="ZM114" s="183" t="s">
        <v>699</v>
      </c>
      <c r="ZN114" s="182" t="s">
        <v>526</v>
      </c>
      <c r="ZO114" s="182">
        <v>1615</v>
      </c>
      <c r="ZP114" s="198">
        <v>416.67</v>
      </c>
      <c r="ZQ114" s="92"/>
      <c r="ZR114" s="92"/>
      <c r="ZS114" s="92"/>
      <c r="ZT114" s="92"/>
    </row>
    <row r="115" spans="688:696" ht="28.8">
      <c r="ZL115" s="182" t="str">
        <f t="shared" si="72"/>
        <v>PARIS -PEKIN</v>
      </c>
      <c r="ZM115" s="183" t="s">
        <v>526</v>
      </c>
      <c r="ZN115" s="182" t="s">
        <v>607</v>
      </c>
      <c r="ZO115" s="182">
        <v>8218</v>
      </c>
      <c r="ZP115" s="198">
        <v>1890.14</v>
      </c>
      <c r="ZQ115" s="92"/>
      <c r="ZR115" s="92"/>
      <c r="ZS115" s="92"/>
      <c r="ZT115" s="92"/>
    </row>
    <row r="116" spans="688:696" ht="28.8">
      <c r="ZL116" s="182" t="str">
        <f t="shared" si="72"/>
        <v>PARIS -SHANGAI</v>
      </c>
      <c r="ZM116" s="183" t="s">
        <v>526</v>
      </c>
      <c r="ZN116" s="182" t="s">
        <v>610</v>
      </c>
      <c r="ZO116" s="182">
        <v>9265</v>
      </c>
      <c r="ZP116" s="198">
        <v>2066.0950000000003</v>
      </c>
      <c r="ZQ116" s="92"/>
      <c r="ZR116" s="92"/>
      <c r="ZS116" s="92"/>
      <c r="ZT116" s="92"/>
    </row>
    <row r="117" spans="688:696" ht="43.2">
      <c r="ZL117" s="182" t="str">
        <f t="shared" si="72"/>
        <v>PARIS -COPENHAGUE</v>
      </c>
      <c r="ZM117" s="183" t="s">
        <v>526</v>
      </c>
      <c r="ZN117" s="182" t="s">
        <v>552</v>
      </c>
      <c r="ZO117" s="182">
        <v>947</v>
      </c>
      <c r="ZP117" s="198">
        <v>297.358</v>
      </c>
      <c r="ZQ117" s="92"/>
      <c r="ZR117" s="92"/>
      <c r="ZS117" s="92"/>
      <c r="ZT117" s="92"/>
    </row>
    <row r="118" spans="688:696" ht="28.8">
      <c r="ZL118" s="182" t="str">
        <f t="shared" ref="ZL118:ZL181" si="73">CONCATENATE(ZM118," -",ZN118)</f>
        <v>PARIS -BARCELONE</v>
      </c>
      <c r="ZM118" s="183" t="s">
        <v>526</v>
      </c>
      <c r="ZN118" s="182" t="s">
        <v>524</v>
      </c>
      <c r="ZO118" s="182">
        <v>830</v>
      </c>
      <c r="ZP118" s="198">
        <v>260.62</v>
      </c>
      <c r="ZQ118" s="92"/>
      <c r="ZR118" s="92"/>
      <c r="ZS118" s="92"/>
      <c r="ZT118" s="92"/>
    </row>
    <row r="119" spans="688:696">
      <c r="ZL119" s="182" t="str">
        <f t="shared" si="73"/>
        <v>PARIS -LYON</v>
      </c>
      <c r="ZM119" s="183" t="s">
        <v>526</v>
      </c>
      <c r="ZN119" s="182" t="s">
        <v>517</v>
      </c>
      <c r="ZO119" s="182">
        <v>392</v>
      </c>
      <c r="ZP119" s="198">
        <v>123.08799999999999</v>
      </c>
      <c r="ZQ119" s="92"/>
      <c r="ZR119" s="92"/>
      <c r="ZS119" s="92"/>
      <c r="ZT119" s="92"/>
    </row>
    <row r="120" spans="688:696" ht="43.2">
      <c r="ZL120" s="182" t="str">
        <f t="shared" si="73"/>
        <v>PARIS -SOUTHAMPTON</v>
      </c>
      <c r="ZM120" s="183" t="s">
        <v>526</v>
      </c>
      <c r="ZN120" s="182" t="s">
        <v>700</v>
      </c>
      <c r="ZO120" s="182">
        <v>352</v>
      </c>
      <c r="ZP120" s="198">
        <v>110.52800000000001</v>
      </c>
      <c r="ZQ120" s="92"/>
      <c r="ZR120" s="92"/>
      <c r="ZS120" s="92"/>
      <c r="ZT120" s="92"/>
    </row>
    <row r="121" spans="688:696" ht="28.8">
      <c r="ZL121" s="182" t="str">
        <f t="shared" si="73"/>
        <v>PARIS -TOKYO</v>
      </c>
      <c r="ZM121" s="183" t="s">
        <v>526</v>
      </c>
      <c r="ZN121" s="182" t="s">
        <v>566</v>
      </c>
      <c r="ZO121" s="182">
        <v>9729</v>
      </c>
      <c r="ZP121" s="198">
        <v>2169.567</v>
      </c>
      <c r="ZQ121" s="92"/>
      <c r="ZR121" s="92"/>
      <c r="ZS121" s="92"/>
      <c r="ZT121" s="92"/>
    </row>
    <row r="122" spans="688:696" ht="28.8">
      <c r="ZL122" s="182" t="str">
        <f t="shared" si="73"/>
        <v>PARIS -OUJDA</v>
      </c>
      <c r="ZM122" s="183" t="s">
        <v>526</v>
      </c>
      <c r="ZN122" s="182" t="s">
        <v>699</v>
      </c>
      <c r="ZO122" s="182">
        <v>1615</v>
      </c>
      <c r="ZP122" s="198">
        <v>416.67</v>
      </c>
      <c r="ZQ122" s="92"/>
      <c r="ZR122" s="92"/>
      <c r="ZS122" s="92"/>
      <c r="ZT122" s="92"/>
    </row>
    <row r="123" spans="688:696" ht="28.8">
      <c r="ZL123" s="182" t="str">
        <f t="shared" si="73"/>
        <v>PARIS -RABAT</v>
      </c>
      <c r="ZM123" s="183" t="s">
        <v>526</v>
      </c>
      <c r="ZN123" s="182" t="s">
        <v>632</v>
      </c>
      <c r="ZO123" s="182">
        <v>1638</v>
      </c>
      <c r="ZP123" s="198">
        <v>422.60399999999998</v>
      </c>
      <c r="ZQ123" s="92"/>
      <c r="ZR123" s="92"/>
      <c r="ZS123" s="92"/>
      <c r="ZT123" s="92"/>
    </row>
    <row r="124" spans="688:696">
      <c r="ZL124" s="182" t="str">
        <f t="shared" si="73"/>
        <v>PARIS -FEZ</v>
      </c>
      <c r="ZM124" s="183" t="s">
        <v>526</v>
      </c>
      <c r="ZN124" s="182" t="s">
        <v>558</v>
      </c>
      <c r="ZO124" s="182">
        <v>1757</v>
      </c>
      <c r="ZP124" s="198">
        <v>453.30600000000004</v>
      </c>
      <c r="ZQ124" s="92"/>
      <c r="ZR124" s="92"/>
      <c r="ZS124" s="92"/>
      <c r="ZT124" s="92"/>
    </row>
    <row r="125" spans="688:696" ht="43.2">
      <c r="ZL125" s="182" t="str">
        <f t="shared" si="73"/>
        <v>PARIS -CASABLANCA</v>
      </c>
      <c r="ZM125" s="183" t="s">
        <v>526</v>
      </c>
      <c r="ZN125" s="182" t="s">
        <v>545</v>
      </c>
      <c r="ZO125" s="182">
        <v>1880</v>
      </c>
      <c r="ZP125" s="198">
        <v>485.04</v>
      </c>
      <c r="ZQ125" s="92"/>
      <c r="ZR125" s="92"/>
      <c r="ZS125" s="92"/>
      <c r="ZT125" s="92"/>
    </row>
    <row r="126" spans="688:696" ht="28.8">
      <c r="ZL126" s="182" t="str">
        <f t="shared" si="73"/>
        <v>PARIS -PRAGUE</v>
      </c>
      <c r="ZM126" s="183" t="s">
        <v>526</v>
      </c>
      <c r="ZN126" s="182" t="s">
        <v>639</v>
      </c>
      <c r="ZO126" s="182">
        <v>882</v>
      </c>
      <c r="ZP126" s="198">
        <v>276.94799999999998</v>
      </c>
      <c r="ZQ126" s="92"/>
      <c r="ZR126" s="92"/>
      <c r="ZS126" s="92"/>
      <c r="ZT126" s="92"/>
    </row>
    <row r="127" spans="688:696" ht="28.8">
      <c r="ZL127" s="182" t="str">
        <f t="shared" si="73"/>
        <v>PARIS -SAINT DENIS</v>
      </c>
      <c r="ZM127" s="183" t="s">
        <v>526</v>
      </c>
      <c r="ZN127" s="182" t="s">
        <v>679</v>
      </c>
      <c r="ZO127" s="182">
        <v>9368</v>
      </c>
      <c r="ZP127" s="198">
        <v>2089.0639999999999</v>
      </c>
      <c r="ZQ127" s="92"/>
      <c r="ZR127" s="92"/>
      <c r="ZS127" s="92"/>
      <c r="ZT127" s="92"/>
    </row>
    <row r="128" spans="688:696" ht="28.8">
      <c r="ZL128" s="182" t="str">
        <f t="shared" si="73"/>
        <v>PARIS -BELGRADE</v>
      </c>
      <c r="ZM128" s="183" t="s">
        <v>526</v>
      </c>
      <c r="ZN128" s="182" t="s">
        <v>528</v>
      </c>
      <c r="ZO128" s="182">
        <v>1444</v>
      </c>
      <c r="ZP128" s="198">
        <v>372.55200000000002</v>
      </c>
      <c r="ZQ128" s="92"/>
      <c r="ZR128" s="92"/>
      <c r="ZS128" s="92"/>
      <c r="ZT128" s="92"/>
    </row>
    <row r="129" spans="688:696" ht="28.8">
      <c r="ZL129" s="182" t="str">
        <f t="shared" si="73"/>
        <v>PARIS -GOTEBORG</v>
      </c>
      <c r="ZM129" s="183" t="s">
        <v>526</v>
      </c>
      <c r="ZN129" s="182" t="s">
        <v>577</v>
      </c>
      <c r="ZO129" s="182">
        <v>1415</v>
      </c>
      <c r="ZP129" s="198">
        <v>365.07</v>
      </c>
      <c r="ZQ129" s="92"/>
      <c r="ZR129" s="92"/>
      <c r="ZS129" s="92"/>
      <c r="ZT129" s="92"/>
    </row>
    <row r="130" spans="688:696" ht="28.8">
      <c r="ZL130" s="182" t="str">
        <f t="shared" si="73"/>
        <v>PARIS -ORLANDO</v>
      </c>
      <c r="ZM130" s="183" t="s">
        <v>526</v>
      </c>
      <c r="ZN130" s="182" t="s">
        <v>647</v>
      </c>
      <c r="ZO130" s="182">
        <v>7228</v>
      </c>
      <c r="ZP130" s="198">
        <v>1510.652</v>
      </c>
      <c r="ZQ130" s="92"/>
      <c r="ZR130" s="92"/>
      <c r="ZS130" s="92"/>
      <c r="ZT130" s="92"/>
    </row>
    <row r="131" spans="688:696" ht="28.8">
      <c r="ZL131" s="182" t="str">
        <f t="shared" si="73"/>
        <v>PARIS -CARTAGENA</v>
      </c>
      <c r="ZM131" s="183" t="s">
        <v>526</v>
      </c>
      <c r="ZN131" s="182" t="s">
        <v>534</v>
      </c>
      <c r="ZO131" s="182">
        <v>8255</v>
      </c>
      <c r="ZP131" s="198">
        <v>1898.65</v>
      </c>
      <c r="ZQ131" s="92"/>
      <c r="ZR131" s="92"/>
      <c r="ZS131" s="92"/>
      <c r="ZT131" s="92"/>
    </row>
    <row r="132" spans="688:696" ht="28.8">
      <c r="ZL132" s="182" t="str">
        <f t="shared" si="73"/>
        <v>PARIS -TOULOUSE</v>
      </c>
      <c r="ZM132" s="183" t="s">
        <v>526</v>
      </c>
      <c r="ZN132" s="182" t="s">
        <v>546</v>
      </c>
      <c r="ZO132" s="182">
        <v>588</v>
      </c>
      <c r="ZP132" s="198">
        <v>184.63200000000001</v>
      </c>
      <c r="ZQ132" s="92"/>
      <c r="ZR132" s="92"/>
      <c r="ZS132" s="92"/>
      <c r="ZT132" s="92"/>
    </row>
    <row r="133" spans="688:696" ht="28.8">
      <c r="ZL133" s="182" t="str">
        <f t="shared" si="73"/>
        <v>PARIS -BELFAST</v>
      </c>
      <c r="ZM133" s="183" t="s">
        <v>526</v>
      </c>
      <c r="ZN133" s="182" t="s">
        <v>527</v>
      </c>
      <c r="ZO133" s="182">
        <v>855</v>
      </c>
      <c r="ZP133" s="198">
        <v>268.47000000000003</v>
      </c>
      <c r="ZQ133" s="92"/>
      <c r="ZR133" s="92"/>
      <c r="ZS133" s="92"/>
      <c r="ZT133" s="92"/>
    </row>
    <row r="134" spans="688:696" ht="28.8">
      <c r="ZL134" s="182" t="str">
        <f t="shared" si="73"/>
        <v>PARIS -DUBLIN</v>
      </c>
      <c r="ZM134" s="183" t="s">
        <v>526</v>
      </c>
      <c r="ZN134" s="182" t="s">
        <v>556</v>
      </c>
      <c r="ZO134" s="182">
        <v>779</v>
      </c>
      <c r="ZP134" s="198">
        <v>244.60599999999999</v>
      </c>
      <c r="ZQ134" s="92"/>
      <c r="ZR134" s="92"/>
      <c r="ZS134" s="92"/>
      <c r="ZT134" s="92"/>
    </row>
    <row r="135" spans="688:696" ht="28.8">
      <c r="ZL135" s="182" t="str">
        <f t="shared" si="73"/>
        <v>PARIS -MILAN</v>
      </c>
      <c r="ZM135" s="183" t="s">
        <v>526</v>
      </c>
      <c r="ZN135" s="182" t="s">
        <v>596</v>
      </c>
      <c r="ZO135" s="182">
        <v>640</v>
      </c>
      <c r="ZP135" s="198">
        <v>200.96</v>
      </c>
      <c r="ZQ135" s="92"/>
      <c r="ZR135" s="92"/>
      <c r="ZS135" s="92"/>
      <c r="ZT135" s="92"/>
    </row>
    <row r="136" spans="688:696">
      <c r="ZL136" s="182" t="str">
        <f t="shared" si="73"/>
        <v>PARIS -PISE</v>
      </c>
      <c r="ZM136" s="183" t="s">
        <v>526</v>
      </c>
      <c r="ZN136" s="182" t="s">
        <v>593</v>
      </c>
      <c r="ZO136" s="182">
        <v>842</v>
      </c>
      <c r="ZP136" s="198">
        <v>264.38799999999998</v>
      </c>
      <c r="ZQ136" s="92"/>
      <c r="ZR136" s="92"/>
      <c r="ZS136" s="92"/>
      <c r="ZT136" s="92"/>
    </row>
    <row r="137" spans="688:696" ht="28.8">
      <c r="ZL137" s="182" t="str">
        <f t="shared" si="73"/>
        <v>PARIS -TOKYO</v>
      </c>
      <c r="ZM137" s="183" t="s">
        <v>526</v>
      </c>
      <c r="ZN137" s="182" t="s">
        <v>566</v>
      </c>
      <c r="ZO137" s="182">
        <v>392</v>
      </c>
      <c r="ZP137" s="198">
        <v>123.08799999999999</v>
      </c>
      <c r="ZQ137" s="92"/>
      <c r="ZR137" s="92"/>
      <c r="ZS137" s="92"/>
      <c r="ZT137" s="92"/>
    </row>
    <row r="138" spans="688:696" ht="43.2">
      <c r="ZL138" s="182" t="str">
        <f t="shared" si="73"/>
        <v>PARIS -CASABLANCA</v>
      </c>
      <c r="ZM138" s="183" t="s">
        <v>526</v>
      </c>
      <c r="ZN138" s="182" t="s">
        <v>545</v>
      </c>
      <c r="ZO138" s="182">
        <v>1880</v>
      </c>
      <c r="ZP138" s="198">
        <v>447.44</v>
      </c>
      <c r="ZQ138" s="92"/>
      <c r="ZR138" s="92"/>
      <c r="ZS138" s="92"/>
      <c r="ZT138" s="92"/>
    </row>
    <row r="139" spans="688:696" ht="28.8">
      <c r="ZL139" s="182" t="str">
        <f t="shared" si="73"/>
        <v>PARIS -BRNO</v>
      </c>
      <c r="ZM139" s="183" t="s">
        <v>526</v>
      </c>
      <c r="ZN139" s="182" t="s">
        <v>701</v>
      </c>
      <c r="ZO139" s="182">
        <v>1039</v>
      </c>
      <c r="ZP139" s="198">
        <v>247.28199999999998</v>
      </c>
      <c r="ZQ139" s="92"/>
      <c r="ZR139" s="92"/>
      <c r="ZS139" s="92"/>
      <c r="ZT139" s="92"/>
    </row>
    <row r="140" spans="688:696" ht="28.8">
      <c r="ZL140" s="182" t="str">
        <f t="shared" si="73"/>
        <v>PARIS -SAINT DENIS</v>
      </c>
      <c r="ZM140" s="183" t="s">
        <v>526</v>
      </c>
      <c r="ZN140" s="182" t="s">
        <v>679</v>
      </c>
      <c r="ZO140" s="182">
        <v>9367</v>
      </c>
      <c r="ZP140" s="198">
        <v>2088.8409999999999</v>
      </c>
      <c r="ZQ140" s="92"/>
      <c r="ZR140" s="92"/>
      <c r="ZS140" s="92"/>
      <c r="ZT140" s="92"/>
    </row>
    <row r="141" spans="688:696" ht="28.8">
      <c r="ZL141" s="182" t="str">
        <f t="shared" si="73"/>
        <v>PARIS -GOTEBORG</v>
      </c>
      <c r="ZM141" s="183" t="s">
        <v>526</v>
      </c>
      <c r="ZN141" s="182" t="s">
        <v>577</v>
      </c>
      <c r="ZO141" s="182">
        <v>1171</v>
      </c>
      <c r="ZP141" s="198">
        <v>278.69799999999998</v>
      </c>
      <c r="ZQ141" s="92"/>
      <c r="ZR141" s="92"/>
      <c r="ZS141" s="92"/>
      <c r="ZT141" s="92"/>
    </row>
    <row r="142" spans="688:696" ht="28.8">
      <c r="ZL142" s="182" t="str">
        <f t="shared" si="73"/>
        <v>PARIS -ATLANTA</v>
      </c>
      <c r="ZM142" s="183" t="s">
        <v>526</v>
      </c>
      <c r="ZN142" s="182" t="s">
        <v>690</v>
      </c>
      <c r="ZO142" s="182">
        <v>7039</v>
      </c>
      <c r="ZP142" s="198">
        <v>1471.1509999999998</v>
      </c>
      <c r="ZQ142" s="92"/>
      <c r="ZR142" s="92"/>
      <c r="ZS142" s="92"/>
      <c r="ZT142" s="92"/>
    </row>
    <row r="143" spans="688:696">
      <c r="ZL143" s="182" t="str">
        <f t="shared" si="73"/>
        <v>PAU -LYON</v>
      </c>
      <c r="ZM143" s="183" t="s">
        <v>670</v>
      </c>
      <c r="ZN143" s="182" t="s">
        <v>517</v>
      </c>
      <c r="ZO143" s="182">
        <v>8144</v>
      </c>
      <c r="ZP143" s="198">
        <v>1873.1200000000001</v>
      </c>
      <c r="ZQ143" s="92"/>
      <c r="ZR143" s="92"/>
      <c r="ZS143" s="92"/>
      <c r="ZT143" s="92"/>
    </row>
    <row r="144" spans="688:696">
      <c r="ZL144" s="182" t="str">
        <f t="shared" si="73"/>
        <v>PAU -LYON</v>
      </c>
      <c r="ZM144" s="183" t="s">
        <v>670</v>
      </c>
      <c r="ZN144" s="182" t="s">
        <v>517</v>
      </c>
      <c r="ZO144" s="182">
        <v>495</v>
      </c>
      <c r="ZP144" s="198">
        <v>155.43</v>
      </c>
      <c r="ZQ144" s="92"/>
      <c r="ZR144" s="92"/>
      <c r="ZS144" s="92"/>
      <c r="ZT144" s="92"/>
    </row>
    <row r="145" spans="688:696" ht="28.8">
      <c r="ZL145" s="182" t="str">
        <f t="shared" si="73"/>
        <v>PEKIN -WEIHAI</v>
      </c>
      <c r="ZM145" s="183" t="s">
        <v>607</v>
      </c>
      <c r="ZN145" s="182" t="s">
        <v>702</v>
      </c>
      <c r="ZO145" s="182">
        <v>563</v>
      </c>
      <c r="ZP145" s="198">
        <v>176.78200000000001</v>
      </c>
      <c r="ZQ145" s="92"/>
      <c r="ZR145" s="92"/>
      <c r="ZS145" s="92"/>
      <c r="ZT145" s="92"/>
    </row>
    <row r="146" spans="688:696">
      <c r="ZL146" s="182" t="str">
        <f t="shared" si="73"/>
        <v>PEKIN -XIAN</v>
      </c>
      <c r="ZM146" s="183" t="s">
        <v>607</v>
      </c>
      <c r="ZN146" s="182" t="s">
        <v>662</v>
      </c>
      <c r="ZO146" s="182">
        <v>912</v>
      </c>
      <c r="ZP146" s="198">
        <v>286.36799999999999</v>
      </c>
      <c r="ZQ146" s="92"/>
      <c r="ZR146" s="92"/>
      <c r="ZS146" s="92"/>
      <c r="ZT146" s="92"/>
    </row>
    <row r="147" spans="688:696" ht="28.8">
      <c r="ZL147" s="182" t="str">
        <f t="shared" si="73"/>
        <v>PEKIN -PARIS</v>
      </c>
      <c r="ZM147" s="183" t="s">
        <v>607</v>
      </c>
      <c r="ZN147" s="182" t="s">
        <v>526</v>
      </c>
      <c r="ZO147" s="182">
        <v>8218</v>
      </c>
      <c r="ZP147" s="198">
        <v>1890.14</v>
      </c>
      <c r="ZQ147" s="92"/>
      <c r="ZR147" s="92"/>
      <c r="ZS147" s="92"/>
      <c r="ZT147" s="92"/>
    </row>
    <row r="148" spans="688:696" ht="28.8">
      <c r="ZL148" s="182" t="str">
        <f t="shared" si="73"/>
        <v>PEKIN -LYON</v>
      </c>
      <c r="ZM148" s="183" t="s">
        <v>607</v>
      </c>
      <c r="ZN148" s="182" t="s">
        <v>517</v>
      </c>
      <c r="ZO148" s="182">
        <v>8315</v>
      </c>
      <c r="ZP148" s="198">
        <v>1912.45</v>
      </c>
      <c r="ZQ148" s="92"/>
      <c r="ZR148" s="92"/>
      <c r="ZS148" s="92"/>
      <c r="ZT148" s="92"/>
    </row>
    <row r="149" spans="688:696" ht="28.8">
      <c r="ZL149" s="182" t="str">
        <f t="shared" si="73"/>
        <v>PEKIN -SHANGAI</v>
      </c>
      <c r="ZM149" s="183" t="s">
        <v>607</v>
      </c>
      <c r="ZN149" s="182" t="s">
        <v>610</v>
      </c>
      <c r="ZO149" s="182">
        <v>1068</v>
      </c>
      <c r="ZP149" s="198">
        <v>275.54399999999998</v>
      </c>
      <c r="ZQ149" s="92"/>
      <c r="ZR149" s="92"/>
      <c r="ZS149" s="92"/>
      <c r="ZT149" s="92"/>
    </row>
    <row r="150" spans="688:696" ht="28.8">
      <c r="ZL150" s="182" t="str">
        <f t="shared" si="73"/>
        <v>PERPIGNAN -PARIS</v>
      </c>
      <c r="ZM150" s="183" t="s">
        <v>703</v>
      </c>
      <c r="ZN150" s="182" t="s">
        <v>526</v>
      </c>
      <c r="ZO150" s="182">
        <v>686</v>
      </c>
      <c r="ZP150" s="198">
        <v>215.404</v>
      </c>
      <c r="ZQ150" s="92"/>
      <c r="ZR150" s="92"/>
      <c r="ZS150" s="92"/>
      <c r="ZT150" s="92"/>
    </row>
    <row r="151" spans="688:696" ht="43.2">
      <c r="ZL151" s="182" t="str">
        <f t="shared" si="73"/>
        <v>PHILADELPHIE -PITTSBURGH</v>
      </c>
      <c r="ZM151" s="183" t="s">
        <v>685</v>
      </c>
      <c r="ZN151" s="182" t="s">
        <v>698</v>
      </c>
      <c r="ZO151" s="182">
        <v>414</v>
      </c>
      <c r="ZP151" s="198">
        <v>129.99600000000001</v>
      </c>
      <c r="ZQ151" s="92"/>
      <c r="ZR151" s="92"/>
      <c r="ZS151" s="92"/>
      <c r="ZT151" s="92"/>
    </row>
    <row r="152" spans="688:696" ht="43.2">
      <c r="ZL152" s="182" t="str">
        <f t="shared" si="73"/>
        <v>PHILADELPHIE -NEW YORK</v>
      </c>
      <c r="ZM152" s="183" t="s">
        <v>685</v>
      </c>
      <c r="ZN152" s="182" t="s">
        <v>571</v>
      </c>
      <c r="ZO152" s="182">
        <v>340</v>
      </c>
      <c r="ZP152" s="198">
        <v>106.76</v>
      </c>
      <c r="ZQ152" s="92"/>
      <c r="ZR152" s="92"/>
      <c r="ZS152" s="92"/>
      <c r="ZT152" s="92"/>
    </row>
    <row r="153" spans="688:696" ht="28.8">
      <c r="ZL153" s="182" t="str">
        <f t="shared" si="73"/>
        <v>PITTSBURGH -NEW YORK</v>
      </c>
      <c r="ZM153" s="183" t="s">
        <v>698</v>
      </c>
      <c r="ZN153" s="182" t="s">
        <v>571</v>
      </c>
      <c r="ZO153" s="182">
        <v>469</v>
      </c>
      <c r="ZP153" s="198">
        <v>147.26599999999999</v>
      </c>
      <c r="ZQ153" s="92"/>
      <c r="ZR153" s="92"/>
      <c r="ZS153" s="92"/>
      <c r="ZT153" s="92"/>
    </row>
    <row r="154" spans="688:696" ht="43.2">
      <c r="ZL154" s="182" t="str">
        <f t="shared" si="73"/>
        <v>PITTSBURGH -STATE COLLEGE</v>
      </c>
      <c r="ZM154" s="183" t="s">
        <v>698</v>
      </c>
      <c r="ZN154" s="182" t="s">
        <v>683</v>
      </c>
      <c r="ZO154" s="182">
        <v>185</v>
      </c>
      <c r="ZP154" s="198">
        <v>58.09</v>
      </c>
      <c r="ZQ154" s="92"/>
      <c r="ZR154" s="92"/>
      <c r="ZS154" s="92"/>
      <c r="ZT154" s="92"/>
    </row>
    <row r="155" spans="688:696" ht="43.2">
      <c r="ZL155" s="182" t="str">
        <f t="shared" si="73"/>
        <v>POINTE A PITRE -FORT DE FRANCE</v>
      </c>
      <c r="ZM155" s="183" t="s">
        <v>562</v>
      </c>
      <c r="ZN155" s="182" t="s">
        <v>561</v>
      </c>
      <c r="ZO155" s="182">
        <v>188</v>
      </c>
      <c r="ZP155" s="198">
        <v>59.032000000000004</v>
      </c>
      <c r="ZQ155" s="92"/>
      <c r="ZR155" s="92"/>
      <c r="ZS155" s="92"/>
      <c r="ZT155" s="92"/>
    </row>
    <row r="156" spans="688:696" ht="28.8">
      <c r="ZL156" s="182" t="str">
        <f t="shared" si="73"/>
        <v>POITIERS -LYON</v>
      </c>
      <c r="ZM156" s="183" t="s">
        <v>621</v>
      </c>
      <c r="ZN156" s="182" t="s">
        <v>517</v>
      </c>
      <c r="ZO156" s="182">
        <v>358</v>
      </c>
      <c r="ZP156" s="198">
        <v>112.41200000000001</v>
      </c>
      <c r="ZQ156" s="92"/>
      <c r="ZR156" s="92"/>
      <c r="ZS156" s="92"/>
      <c r="ZT156" s="92"/>
    </row>
    <row r="157" spans="688:696" ht="28.8">
      <c r="ZL157" s="182" t="str">
        <f t="shared" si="73"/>
        <v>POITIERS -LYON</v>
      </c>
      <c r="ZM157" s="183" t="s">
        <v>621</v>
      </c>
      <c r="ZN157" s="182" t="s">
        <v>517</v>
      </c>
      <c r="ZO157" s="182">
        <v>774</v>
      </c>
      <c r="ZP157" s="198">
        <v>243.036</v>
      </c>
      <c r="ZQ157" s="92"/>
      <c r="ZR157" s="92"/>
      <c r="ZS157" s="92"/>
      <c r="ZT157" s="92"/>
    </row>
    <row r="158" spans="688:696" ht="28.8">
      <c r="ZL158" s="182" t="str">
        <f t="shared" si="73"/>
        <v>PORTO -LYON</v>
      </c>
      <c r="ZM158" s="183" t="s">
        <v>519</v>
      </c>
      <c r="ZN158" s="182" t="s">
        <v>517</v>
      </c>
      <c r="ZO158" s="182">
        <v>1100</v>
      </c>
      <c r="ZP158" s="198">
        <v>283.8</v>
      </c>
      <c r="ZQ158" s="92"/>
      <c r="ZR158" s="92"/>
      <c r="ZS158" s="92"/>
      <c r="ZT158" s="92"/>
    </row>
    <row r="159" spans="688:696" ht="28.8">
      <c r="ZL159" s="182" t="str">
        <f t="shared" si="73"/>
        <v>PORTO -LYON</v>
      </c>
      <c r="ZM159" s="183" t="s">
        <v>519</v>
      </c>
      <c r="ZN159" s="182" t="s">
        <v>517</v>
      </c>
      <c r="ZO159" s="182">
        <v>1100</v>
      </c>
      <c r="ZP159" s="198">
        <v>261.8</v>
      </c>
      <c r="ZQ159" s="92"/>
      <c r="ZR159" s="92"/>
      <c r="ZS159" s="92"/>
      <c r="ZT159" s="92"/>
    </row>
    <row r="160" spans="688:696" ht="28.8">
      <c r="ZL160" s="182" t="str">
        <f t="shared" si="73"/>
        <v>PORTO -AMMAN</v>
      </c>
      <c r="ZM160" s="183" t="s">
        <v>519</v>
      </c>
      <c r="ZN160" s="182" t="s">
        <v>518</v>
      </c>
      <c r="ZO160" s="182">
        <v>4115</v>
      </c>
      <c r="ZP160" s="198">
        <v>1263.3050000000001</v>
      </c>
      <c r="ZQ160" s="92"/>
      <c r="ZR160" s="92"/>
      <c r="ZS160" s="92"/>
      <c r="ZT160" s="92"/>
    </row>
    <row r="161" spans="688:696" ht="28.8">
      <c r="ZL161" s="182" t="str">
        <f t="shared" si="73"/>
        <v>PORTO -LYON</v>
      </c>
      <c r="ZM161" s="183" t="s">
        <v>519</v>
      </c>
      <c r="ZN161" s="182" t="s">
        <v>517</v>
      </c>
      <c r="ZO161" s="182">
        <v>1198</v>
      </c>
      <c r="ZP161" s="198">
        <v>309.084</v>
      </c>
      <c r="ZQ161" s="92"/>
      <c r="ZR161" s="92"/>
      <c r="ZS161" s="92"/>
      <c r="ZT161" s="92"/>
    </row>
    <row r="162" spans="688:696" ht="28.8">
      <c r="ZL162" s="182" t="str">
        <f t="shared" si="73"/>
        <v>PRAGUE -LYON</v>
      </c>
      <c r="ZM162" s="183" t="s">
        <v>639</v>
      </c>
      <c r="ZN162" s="182" t="s">
        <v>517</v>
      </c>
      <c r="ZO162" s="182">
        <v>860</v>
      </c>
      <c r="ZP162" s="198">
        <v>270.04000000000002</v>
      </c>
      <c r="ZQ162" s="92"/>
      <c r="ZR162" s="92"/>
      <c r="ZS162" s="92"/>
      <c r="ZT162" s="92"/>
    </row>
    <row r="163" spans="688:696" ht="28.8">
      <c r="ZL163" s="182" t="str">
        <f t="shared" si="73"/>
        <v>QUITO -GUAYAQUIL</v>
      </c>
      <c r="ZM163" s="183" t="s">
        <v>616</v>
      </c>
      <c r="ZN163" s="182" t="s">
        <v>704</v>
      </c>
      <c r="ZO163" s="182">
        <v>268</v>
      </c>
      <c r="ZP163" s="198">
        <v>84.152000000000001</v>
      </c>
      <c r="ZQ163" s="92"/>
      <c r="ZR163" s="92"/>
      <c r="ZS163" s="92"/>
      <c r="ZT163" s="92"/>
    </row>
    <row r="164" spans="688:696" ht="28.8">
      <c r="ZL164" s="182" t="str">
        <f t="shared" si="73"/>
        <v>RENNES -LYON</v>
      </c>
      <c r="ZM164" s="183" t="s">
        <v>623</v>
      </c>
      <c r="ZN164" s="182" t="s">
        <v>517</v>
      </c>
      <c r="ZO164" s="182">
        <v>560</v>
      </c>
      <c r="ZP164" s="198">
        <v>175.84</v>
      </c>
      <c r="ZQ164" s="92"/>
      <c r="ZR164" s="92"/>
      <c r="ZS164" s="92"/>
      <c r="ZT164" s="92"/>
    </row>
    <row r="165" spans="688:696" ht="28.8">
      <c r="ZL165" s="182" t="str">
        <f t="shared" si="73"/>
        <v>RENNES -LYON</v>
      </c>
      <c r="ZM165" s="183" t="s">
        <v>623</v>
      </c>
      <c r="ZN165" s="182" t="s">
        <v>517</v>
      </c>
      <c r="ZO165" s="182">
        <v>559</v>
      </c>
      <c r="ZP165" s="198">
        <v>175.52600000000001</v>
      </c>
      <c r="ZQ165" s="92"/>
      <c r="ZR165" s="92"/>
      <c r="ZS165" s="92"/>
      <c r="ZT165" s="92"/>
    </row>
    <row r="166" spans="688:696" ht="28.8">
      <c r="ZL166" s="182" t="str">
        <f t="shared" si="73"/>
        <v>RHODES -LYON</v>
      </c>
      <c r="ZM166" s="183" t="s">
        <v>628</v>
      </c>
      <c r="ZN166" s="182" t="s">
        <v>517</v>
      </c>
      <c r="ZO166" s="182">
        <v>2206</v>
      </c>
      <c r="ZP166" s="198">
        <v>461.05399999999997</v>
      </c>
      <c r="ZQ166" s="92"/>
      <c r="ZR166" s="92"/>
      <c r="ZS166" s="92"/>
      <c r="ZT166" s="92"/>
    </row>
    <row r="167" spans="688:696">
      <c r="ZL167" s="182" t="str">
        <f t="shared" si="73"/>
        <v>RIGA -LYON</v>
      </c>
      <c r="ZM167" s="183" t="s">
        <v>705</v>
      </c>
      <c r="ZN167" s="182" t="s">
        <v>517</v>
      </c>
      <c r="ZO167" s="182">
        <v>1815</v>
      </c>
      <c r="ZP167" s="198">
        <v>468.27000000000004</v>
      </c>
      <c r="ZQ167" s="92"/>
      <c r="ZR167" s="92"/>
      <c r="ZS167" s="92"/>
      <c r="ZT167" s="92"/>
    </row>
    <row r="168" spans="688:696" ht="43.2">
      <c r="ZL168" s="182" t="str">
        <f t="shared" si="73"/>
        <v>RIO DE JANEIRO -SAO PAULO</v>
      </c>
      <c r="ZM168" s="183" t="s">
        <v>706</v>
      </c>
      <c r="ZN168" s="182" t="s">
        <v>587</v>
      </c>
      <c r="ZO168" s="182">
        <v>357</v>
      </c>
      <c r="ZP168" s="198">
        <v>112.098</v>
      </c>
      <c r="ZQ168" s="92"/>
      <c r="ZR168" s="92"/>
      <c r="ZS168" s="92"/>
      <c r="ZT168" s="92"/>
    </row>
    <row r="169" spans="688:696" ht="28.8">
      <c r="ZL169" s="182" t="str">
        <f t="shared" si="73"/>
        <v>ROME -LYON</v>
      </c>
      <c r="ZM169" s="183" t="s">
        <v>592</v>
      </c>
      <c r="ZN169" s="182" t="s">
        <v>517</v>
      </c>
      <c r="ZO169" s="182">
        <v>750</v>
      </c>
      <c r="ZP169" s="198">
        <v>235.5</v>
      </c>
      <c r="ZQ169" s="92"/>
      <c r="ZR169" s="92"/>
      <c r="ZS169" s="92"/>
      <c r="ZT169" s="92"/>
    </row>
    <row r="170" spans="688:696" ht="28.8">
      <c r="ZL170" s="182" t="str">
        <f t="shared" si="73"/>
        <v>ROME -PARIS</v>
      </c>
      <c r="ZM170" s="183" t="s">
        <v>592</v>
      </c>
      <c r="ZN170" s="182" t="s">
        <v>526</v>
      </c>
      <c r="ZO170" s="182">
        <v>1107</v>
      </c>
      <c r="ZP170" s="198">
        <v>285.60599999999999</v>
      </c>
      <c r="ZQ170" s="92"/>
      <c r="ZR170" s="92"/>
      <c r="ZS170" s="92"/>
      <c r="ZT170" s="92"/>
    </row>
    <row r="171" spans="688:696" ht="28.8">
      <c r="ZL171" s="182" t="str">
        <f t="shared" si="73"/>
        <v>SAINT DENIS -PARIS</v>
      </c>
      <c r="ZM171" s="183" t="s">
        <v>679</v>
      </c>
      <c r="ZN171" s="182" t="s">
        <v>526</v>
      </c>
      <c r="ZO171" s="182">
        <v>686</v>
      </c>
      <c r="ZP171" s="198">
        <v>215.404</v>
      </c>
      <c r="ZQ171" s="92"/>
      <c r="ZR171" s="92"/>
      <c r="ZS171" s="92"/>
      <c r="ZT171" s="92"/>
    </row>
    <row r="172" spans="688:696" ht="43.2">
      <c r="ZL172" s="182" t="str">
        <f t="shared" si="73"/>
        <v>SAINT ETIENNE -FEZ</v>
      </c>
      <c r="ZM172" s="183" t="s">
        <v>559</v>
      </c>
      <c r="ZN172" s="182" t="s">
        <v>558</v>
      </c>
      <c r="ZO172" s="182">
        <v>1779</v>
      </c>
      <c r="ZP172" s="198">
        <v>458.98200000000003</v>
      </c>
      <c r="ZQ172" s="92"/>
      <c r="ZR172" s="92"/>
      <c r="ZS172" s="92"/>
      <c r="ZT172" s="92"/>
    </row>
    <row r="173" spans="688:696" ht="28.8">
      <c r="ZL173" s="182" t="str">
        <f t="shared" si="73"/>
        <v>SANTA CRUZ -LA PAZ</v>
      </c>
      <c r="ZM173" s="183" t="s">
        <v>604</v>
      </c>
      <c r="ZN173" s="182" t="s">
        <v>586</v>
      </c>
      <c r="ZO173" s="182">
        <v>547</v>
      </c>
      <c r="ZP173" s="198">
        <v>171.75800000000001</v>
      </c>
      <c r="ZQ173" s="92"/>
      <c r="ZR173" s="92"/>
      <c r="ZS173" s="92"/>
      <c r="ZT173" s="92"/>
    </row>
    <row r="174" spans="688:696" ht="28.8">
      <c r="ZL174" s="182" t="str">
        <f t="shared" si="73"/>
        <v>SANTA CRUZ -SAO PAULO</v>
      </c>
      <c r="ZM174" s="183" t="s">
        <v>604</v>
      </c>
      <c r="ZN174" s="182" t="s">
        <v>587</v>
      </c>
      <c r="ZO174" s="182">
        <v>1835</v>
      </c>
      <c r="ZP174" s="198">
        <v>473.43</v>
      </c>
      <c r="ZQ174" s="92"/>
      <c r="ZR174" s="92"/>
      <c r="ZS174" s="92"/>
      <c r="ZT174" s="92"/>
    </row>
    <row r="175" spans="688:696" ht="57.6">
      <c r="ZL175" s="182" t="str">
        <f t="shared" si="73"/>
        <v>SANTIAGO DU CH. -CONCEPCION</v>
      </c>
      <c r="ZM175" s="183" t="s">
        <v>606</v>
      </c>
      <c r="ZN175" s="182" t="s">
        <v>707</v>
      </c>
      <c r="ZO175" s="182">
        <v>433</v>
      </c>
      <c r="ZP175" s="198">
        <v>135.96199999999999</v>
      </c>
      <c r="ZQ175" s="92"/>
      <c r="ZR175" s="92"/>
      <c r="ZS175" s="92"/>
      <c r="ZT175" s="92"/>
    </row>
    <row r="176" spans="688:696" ht="28.8">
      <c r="ZL176" s="182" t="str">
        <f t="shared" si="73"/>
        <v>SAO PAULO -SANTA CRUZ</v>
      </c>
      <c r="ZM176" s="183" t="s">
        <v>587</v>
      </c>
      <c r="ZN176" s="182" t="s">
        <v>604</v>
      </c>
      <c r="ZO176" s="182">
        <v>1835</v>
      </c>
      <c r="ZP176" s="198">
        <v>473.43</v>
      </c>
      <c r="ZQ176" s="92"/>
      <c r="ZR176" s="92"/>
      <c r="ZS176" s="92"/>
      <c r="ZT176" s="92"/>
    </row>
    <row r="177" spans="688:696" ht="43.2">
      <c r="ZL177" s="182" t="str">
        <f t="shared" si="73"/>
        <v>SAO PAULO -RIO DE JANEIRO</v>
      </c>
      <c r="ZM177" s="183" t="s">
        <v>587</v>
      </c>
      <c r="ZN177" s="182" t="s">
        <v>706</v>
      </c>
      <c r="ZO177" s="182">
        <v>357</v>
      </c>
      <c r="ZP177" s="198">
        <v>112.098</v>
      </c>
      <c r="ZQ177" s="92"/>
      <c r="ZR177" s="92"/>
      <c r="ZS177" s="92"/>
      <c r="ZT177" s="92"/>
    </row>
    <row r="178" spans="688:696" ht="43.2">
      <c r="ZL178" s="182" t="str">
        <f t="shared" si="73"/>
        <v>SAO PAULO -UBERLANDIA</v>
      </c>
      <c r="ZM178" s="183" t="s">
        <v>587</v>
      </c>
      <c r="ZN178" s="182" t="s">
        <v>708</v>
      </c>
      <c r="ZO178" s="182">
        <v>542</v>
      </c>
      <c r="ZP178" s="198">
        <v>170.18799999999999</v>
      </c>
      <c r="ZQ178" s="92"/>
      <c r="ZR178" s="92"/>
      <c r="ZS178" s="92"/>
      <c r="ZT178" s="92"/>
    </row>
    <row r="179" spans="688:696" ht="28.8">
      <c r="ZL179" s="182" t="str">
        <f t="shared" si="73"/>
        <v>SAO PAULO -CURITIBA</v>
      </c>
      <c r="ZM179" s="183" t="s">
        <v>587</v>
      </c>
      <c r="ZN179" s="182" t="s">
        <v>555</v>
      </c>
      <c r="ZO179" s="182">
        <v>339</v>
      </c>
      <c r="ZP179" s="198">
        <v>106.446</v>
      </c>
      <c r="ZQ179" s="92"/>
      <c r="ZR179" s="92"/>
      <c r="ZS179" s="92"/>
      <c r="ZT179" s="92"/>
    </row>
    <row r="180" spans="688:696" ht="28.8">
      <c r="ZL180" s="182" t="str">
        <f t="shared" si="73"/>
        <v>SAO PAULO -RECIFE</v>
      </c>
      <c r="ZM180" s="183" t="s">
        <v>587</v>
      </c>
      <c r="ZN180" s="182" t="s">
        <v>656</v>
      </c>
      <c r="ZO180" s="182">
        <v>2130</v>
      </c>
      <c r="ZP180" s="198">
        <v>445.16999999999996</v>
      </c>
      <c r="ZQ180" s="92"/>
      <c r="ZR180" s="92"/>
      <c r="ZS180" s="92"/>
      <c r="ZT180" s="92"/>
    </row>
    <row r="181" spans="688:696" ht="28.8">
      <c r="ZL181" s="182" t="str">
        <f t="shared" si="73"/>
        <v>SEOUL -HONG KONG</v>
      </c>
      <c r="ZM181" s="183" t="s">
        <v>580</v>
      </c>
      <c r="ZN181" s="182" t="s">
        <v>584</v>
      </c>
      <c r="ZO181" s="182">
        <v>9628</v>
      </c>
      <c r="ZP181" s="198">
        <v>2147.0439999999999</v>
      </c>
      <c r="ZQ181" s="92"/>
      <c r="ZR181" s="92"/>
      <c r="ZS181" s="92"/>
      <c r="ZT181" s="92"/>
    </row>
    <row r="182" spans="688:696" ht="28.8">
      <c r="ZL182" s="182" t="str">
        <f t="shared" ref="ZL182:ZL217" si="74">CONCATENATE(ZM182," -",ZN182)</f>
        <v>SEVILLE -LYON</v>
      </c>
      <c r="ZM182" s="183" t="s">
        <v>619</v>
      </c>
      <c r="ZN182" s="182" t="s">
        <v>517</v>
      </c>
      <c r="ZO182" s="182">
        <v>1292</v>
      </c>
      <c r="ZP182" s="198">
        <v>307.49599999999998</v>
      </c>
      <c r="ZQ182" s="92"/>
      <c r="ZR182" s="92"/>
      <c r="ZS182" s="92"/>
      <c r="ZT182" s="92"/>
    </row>
    <row r="183" spans="688:696" ht="28.8">
      <c r="ZL183" s="182" t="str">
        <f t="shared" si="74"/>
        <v>SHANGAI -XIAN</v>
      </c>
      <c r="ZM183" s="183" t="s">
        <v>610</v>
      </c>
      <c r="ZN183" s="182" t="s">
        <v>662</v>
      </c>
      <c r="ZO183" s="182">
        <v>1218</v>
      </c>
      <c r="ZP183" s="198">
        <v>314.24400000000003</v>
      </c>
      <c r="ZQ183" s="92"/>
      <c r="ZR183" s="92"/>
      <c r="ZS183" s="92"/>
      <c r="ZT183" s="92"/>
    </row>
    <row r="184" spans="688:696" ht="28.8">
      <c r="ZL184" s="182" t="str">
        <f t="shared" si="74"/>
        <v>SHANGAI -QUEBEC</v>
      </c>
      <c r="ZM184" s="183" t="s">
        <v>610</v>
      </c>
      <c r="ZN184" s="182" t="s">
        <v>709</v>
      </c>
      <c r="ZO184" s="182">
        <v>10671</v>
      </c>
      <c r="ZP184" s="198">
        <v>2379.6330000000003</v>
      </c>
      <c r="ZQ184" s="92"/>
      <c r="ZR184" s="92"/>
      <c r="ZS184" s="92"/>
      <c r="ZT184" s="92"/>
    </row>
    <row r="185" spans="688:696" ht="28.8">
      <c r="ZL185" s="182" t="str">
        <f t="shared" si="74"/>
        <v>SHANGAI -PEKIN</v>
      </c>
      <c r="ZM185" s="183" t="s">
        <v>610</v>
      </c>
      <c r="ZN185" s="182" t="s">
        <v>607</v>
      </c>
      <c r="ZO185" s="182">
        <v>1068</v>
      </c>
      <c r="ZP185" s="198">
        <v>275.54399999999998</v>
      </c>
      <c r="ZQ185" s="92"/>
      <c r="ZR185" s="92"/>
      <c r="ZS185" s="92"/>
      <c r="ZT185" s="92"/>
    </row>
    <row r="186" spans="688:696" ht="28.8">
      <c r="ZL186" s="182" t="str">
        <f t="shared" si="74"/>
        <v>SHANGAI -LYON</v>
      </c>
      <c r="ZM186" s="183" t="s">
        <v>610</v>
      </c>
      <c r="ZN186" s="182" t="s">
        <v>517</v>
      </c>
      <c r="ZO186" s="182">
        <v>9346</v>
      </c>
      <c r="ZP186" s="198">
        <v>2084.1579999999999</v>
      </c>
      <c r="ZQ186" s="92"/>
      <c r="ZR186" s="92"/>
      <c r="ZS186" s="92"/>
      <c r="ZT186" s="92"/>
    </row>
    <row r="187" spans="688:696" ht="28.8">
      <c r="ZL187" s="182" t="str">
        <f t="shared" si="74"/>
        <v>SHANGAI -HONG KONG</v>
      </c>
      <c r="ZM187" s="183" t="s">
        <v>610</v>
      </c>
      <c r="ZN187" s="182" t="s">
        <v>584</v>
      </c>
      <c r="ZO187" s="182">
        <v>1222</v>
      </c>
      <c r="ZP187" s="198">
        <v>290.83600000000001</v>
      </c>
      <c r="ZQ187" s="92"/>
      <c r="ZR187" s="92"/>
      <c r="ZS187" s="92"/>
      <c r="ZT187" s="92"/>
    </row>
    <row r="188" spans="688:696" ht="57.6">
      <c r="ZL188" s="182" t="str">
        <f t="shared" si="74"/>
        <v>STATE COLLEGE -PHILADELPHIE</v>
      </c>
      <c r="ZM188" s="183" t="s">
        <v>683</v>
      </c>
      <c r="ZN188" s="182" t="s">
        <v>685</v>
      </c>
      <c r="ZO188" s="182">
        <v>246</v>
      </c>
      <c r="ZP188" s="198">
        <v>77.244</v>
      </c>
      <c r="ZQ188" s="92"/>
      <c r="ZR188" s="92"/>
      <c r="ZS188" s="92"/>
      <c r="ZT188" s="92"/>
    </row>
    <row r="189" spans="688:696" ht="57.6">
      <c r="ZL189" s="182" t="str">
        <f t="shared" si="74"/>
        <v>STATE COLLEGE -WASHINGTON</v>
      </c>
      <c r="ZM189" s="183" t="s">
        <v>683</v>
      </c>
      <c r="ZN189" s="182" t="s">
        <v>646</v>
      </c>
      <c r="ZO189" s="182">
        <v>221</v>
      </c>
      <c r="ZP189" s="198">
        <v>69.394000000000005</v>
      </c>
      <c r="ZQ189" s="92"/>
      <c r="ZR189" s="92"/>
      <c r="ZS189" s="92"/>
      <c r="ZT189" s="92"/>
    </row>
    <row r="190" spans="688:696" ht="28.8">
      <c r="ZL190" s="182" t="str">
        <f t="shared" si="74"/>
        <v>STOCKHOLM -LYON</v>
      </c>
      <c r="ZM190" s="183" t="s">
        <v>642</v>
      </c>
      <c r="ZN190" s="182" t="s">
        <v>517</v>
      </c>
      <c r="ZO190" s="182">
        <v>1748</v>
      </c>
      <c r="ZP190" s="198">
        <v>416.024</v>
      </c>
      <c r="ZQ190" s="92"/>
      <c r="ZR190" s="92"/>
      <c r="ZS190" s="92"/>
      <c r="ZT190" s="92"/>
    </row>
    <row r="191" spans="688:696" ht="28.8">
      <c r="ZL191" s="182" t="str">
        <f t="shared" si="74"/>
        <v>STUTTGART -LYON</v>
      </c>
      <c r="ZM191" s="183" t="s">
        <v>664</v>
      </c>
      <c r="ZN191" s="182" t="s">
        <v>517</v>
      </c>
      <c r="ZO191" s="182">
        <v>469</v>
      </c>
      <c r="ZP191" s="198">
        <v>147.26599999999999</v>
      </c>
      <c r="ZQ191" s="92"/>
      <c r="ZR191" s="92"/>
      <c r="ZS191" s="92"/>
      <c r="ZT191" s="92"/>
    </row>
    <row r="192" spans="688:696" ht="28.8">
      <c r="ZL192" s="182" t="str">
        <f t="shared" si="74"/>
        <v>TALLIN -LYON</v>
      </c>
      <c r="ZM192" s="183" t="s">
        <v>668</v>
      </c>
      <c r="ZN192" s="182" t="s">
        <v>517</v>
      </c>
      <c r="ZO192" s="182">
        <v>2015</v>
      </c>
      <c r="ZP192" s="198">
        <v>421.13499999999999</v>
      </c>
      <c r="ZQ192" s="92"/>
      <c r="ZR192" s="92"/>
      <c r="ZS192" s="92"/>
      <c r="ZT192" s="92"/>
    </row>
    <row r="193" spans="688:696" ht="28.8">
      <c r="ZL193" s="182" t="str">
        <f t="shared" si="74"/>
        <v>TANGER -PARIS</v>
      </c>
      <c r="ZM193" s="183" t="s">
        <v>710</v>
      </c>
      <c r="ZN193" s="182" t="s">
        <v>526</v>
      </c>
      <c r="ZO193" s="182">
        <v>1599</v>
      </c>
      <c r="ZP193" s="198">
        <v>412.54200000000003</v>
      </c>
      <c r="ZQ193" s="92"/>
      <c r="ZR193" s="92"/>
      <c r="ZS193" s="92"/>
      <c r="ZT193" s="92"/>
    </row>
    <row r="194" spans="688:696" ht="28.8">
      <c r="ZL194" s="182" t="str">
        <f t="shared" si="74"/>
        <v>TEL AVIV -LYON</v>
      </c>
      <c r="ZM194" s="183" t="s">
        <v>673</v>
      </c>
      <c r="ZN194" s="182" t="s">
        <v>517</v>
      </c>
      <c r="ZO194" s="182">
        <v>2979</v>
      </c>
      <c r="ZP194" s="198">
        <v>622.61099999999999</v>
      </c>
      <c r="ZQ194" s="92"/>
      <c r="ZR194" s="92"/>
      <c r="ZS194" s="92"/>
      <c r="ZT194" s="92"/>
    </row>
    <row r="195" spans="688:696" ht="28.8">
      <c r="ZL195" s="182" t="str">
        <f t="shared" si="74"/>
        <v>TEL AVIV -PARIS</v>
      </c>
      <c r="ZM195" s="183" t="s">
        <v>673</v>
      </c>
      <c r="ZN195" s="182" t="s">
        <v>526</v>
      </c>
      <c r="ZO195" s="182">
        <v>3279</v>
      </c>
      <c r="ZP195" s="198">
        <v>754.17000000000007</v>
      </c>
      <c r="ZQ195" s="92"/>
      <c r="ZR195" s="92"/>
      <c r="ZS195" s="92"/>
      <c r="ZT195" s="92"/>
    </row>
    <row r="196" spans="688:696" ht="28.8">
      <c r="ZL196" s="182" t="str">
        <f t="shared" si="74"/>
        <v>THIRA -PARIS</v>
      </c>
      <c r="ZM196" s="183" t="s">
        <v>523</v>
      </c>
      <c r="ZN196" s="182" t="s">
        <v>526</v>
      </c>
      <c r="ZO196" s="182">
        <v>2325</v>
      </c>
      <c r="ZP196" s="198">
        <v>485.92499999999995</v>
      </c>
      <c r="ZQ196" s="92"/>
      <c r="ZR196" s="92"/>
      <c r="ZS196" s="92"/>
      <c r="ZT196" s="92"/>
    </row>
    <row r="197" spans="688:696" ht="28.8">
      <c r="ZL197" s="182" t="str">
        <f t="shared" si="74"/>
        <v>THIRA -ATHENES</v>
      </c>
      <c r="ZM197" s="183" t="s">
        <v>523</v>
      </c>
      <c r="ZN197" s="182" t="s">
        <v>522</v>
      </c>
      <c r="ZO197" s="182">
        <v>230</v>
      </c>
      <c r="ZP197" s="198">
        <v>72.22</v>
      </c>
      <c r="ZQ197" s="92"/>
      <c r="ZR197" s="92"/>
      <c r="ZS197" s="92"/>
      <c r="ZT197" s="92"/>
    </row>
    <row r="198" spans="688:696" ht="28.8">
      <c r="ZL198" s="182" t="str">
        <f t="shared" si="74"/>
        <v>TOKYO -PARIS</v>
      </c>
      <c r="ZM198" s="183" t="s">
        <v>566</v>
      </c>
      <c r="ZN198" s="182" t="s">
        <v>526</v>
      </c>
      <c r="ZO198" s="182">
        <v>9730</v>
      </c>
      <c r="ZP198" s="198">
        <v>2169.79</v>
      </c>
      <c r="ZQ198" s="92"/>
      <c r="ZR198" s="92"/>
      <c r="ZS198" s="92"/>
      <c r="ZT198" s="92"/>
    </row>
    <row r="199" spans="688:696" ht="28.8">
      <c r="ZL199" s="182" t="str">
        <f t="shared" si="74"/>
        <v>TOKYO -PARIS</v>
      </c>
      <c r="ZM199" s="183" t="s">
        <v>566</v>
      </c>
      <c r="ZN199" s="182" t="s">
        <v>526</v>
      </c>
      <c r="ZO199" s="182">
        <v>9729</v>
      </c>
      <c r="ZP199" s="198">
        <v>2169.567</v>
      </c>
      <c r="ZQ199" s="92"/>
      <c r="ZR199" s="92"/>
      <c r="ZS199" s="92"/>
      <c r="ZT199" s="92"/>
    </row>
    <row r="200" spans="688:696" ht="28.8">
      <c r="ZL200" s="182" t="str">
        <f t="shared" si="74"/>
        <v>TOULOUSE -LYON</v>
      </c>
      <c r="ZM200" s="183" t="s">
        <v>546</v>
      </c>
      <c r="ZN200" s="182" t="s">
        <v>517</v>
      </c>
      <c r="ZO200" s="182">
        <v>359</v>
      </c>
      <c r="ZP200" s="198">
        <v>112.726</v>
      </c>
      <c r="ZQ200" s="92"/>
      <c r="ZR200" s="92"/>
      <c r="ZS200" s="92"/>
      <c r="ZT200" s="92"/>
    </row>
    <row r="201" spans="688:696" ht="28.8">
      <c r="ZL201" s="182" t="str">
        <f t="shared" si="74"/>
        <v>TOULOUSE -FEZ</v>
      </c>
      <c r="ZM201" s="183" t="s">
        <v>546</v>
      </c>
      <c r="ZN201" s="182" t="s">
        <v>558</v>
      </c>
      <c r="ZO201" s="182">
        <v>1200</v>
      </c>
      <c r="ZP201" s="198">
        <v>309.60000000000002</v>
      </c>
      <c r="ZQ201" s="92"/>
      <c r="ZR201" s="92"/>
      <c r="ZS201" s="92"/>
      <c r="ZT201" s="92"/>
    </row>
    <row r="202" spans="688:696" ht="43.2">
      <c r="ZL202" s="182" t="str">
        <f t="shared" si="74"/>
        <v>TOULOUSE -CASABLANCA</v>
      </c>
      <c r="ZM202" s="183" t="s">
        <v>546</v>
      </c>
      <c r="ZN202" s="182" t="s">
        <v>545</v>
      </c>
      <c r="ZO202" s="182">
        <v>1362</v>
      </c>
      <c r="ZP202" s="198">
        <v>351.39600000000002</v>
      </c>
      <c r="ZQ202" s="92"/>
      <c r="ZR202" s="92"/>
      <c r="ZS202" s="92"/>
      <c r="ZT202" s="92"/>
    </row>
    <row r="203" spans="688:696" ht="28.8">
      <c r="ZL203" s="182" t="str">
        <f t="shared" si="74"/>
        <v>TOULOUSE -MERIDA</v>
      </c>
      <c r="ZM203" s="183" t="s">
        <v>546</v>
      </c>
      <c r="ZN203" s="182" t="s">
        <v>696</v>
      </c>
      <c r="ZO203" s="182">
        <v>8503</v>
      </c>
      <c r="ZP203" s="198">
        <v>1955.69</v>
      </c>
      <c r="ZQ203" s="92"/>
      <c r="ZR203" s="92"/>
      <c r="ZS203" s="92"/>
      <c r="ZT203" s="92"/>
    </row>
    <row r="204" spans="688:696" ht="28.8">
      <c r="ZL204" s="182" t="str">
        <f t="shared" si="74"/>
        <v>TOULOUSE -ORAN</v>
      </c>
      <c r="ZM204" s="183" t="s">
        <v>546</v>
      </c>
      <c r="ZN204" s="182" t="s">
        <v>601</v>
      </c>
      <c r="ZO204" s="182">
        <v>897</v>
      </c>
      <c r="ZP204" s="198">
        <v>281.65800000000002</v>
      </c>
      <c r="ZQ204" s="92"/>
      <c r="ZR204" s="92"/>
      <c r="ZS204" s="92"/>
      <c r="ZT204" s="92"/>
    </row>
    <row r="205" spans="688:696" ht="28.8">
      <c r="ZL205" s="182" t="str">
        <f t="shared" si="74"/>
        <v>TOULOUSE -MUNICH</v>
      </c>
      <c r="ZM205" s="183" t="s">
        <v>546</v>
      </c>
      <c r="ZN205" s="182" t="s">
        <v>521</v>
      </c>
      <c r="ZO205" s="182">
        <v>931</v>
      </c>
      <c r="ZP205" s="198">
        <v>292.334</v>
      </c>
      <c r="ZQ205" s="92"/>
      <c r="ZR205" s="92"/>
      <c r="ZS205" s="92"/>
      <c r="ZT205" s="92"/>
    </row>
    <row r="206" spans="688:696" ht="28.8">
      <c r="ZL206" s="182" t="str">
        <f t="shared" si="74"/>
        <v>TOULOUSE -PARIS</v>
      </c>
      <c r="ZM206" s="183" t="s">
        <v>546</v>
      </c>
      <c r="ZN206" s="182" t="s">
        <v>526</v>
      </c>
      <c r="ZO206" s="182">
        <v>588</v>
      </c>
      <c r="ZP206" s="198">
        <v>184.63200000000001</v>
      </c>
      <c r="ZQ206" s="92"/>
      <c r="ZR206" s="92"/>
      <c r="ZS206" s="92"/>
      <c r="ZT206" s="92"/>
    </row>
    <row r="207" spans="688:696" ht="28.8">
      <c r="ZL207" s="182" t="str">
        <f t="shared" si="74"/>
        <v>TOULOUSE -FEZ</v>
      </c>
      <c r="ZM207" s="183" t="s">
        <v>546</v>
      </c>
      <c r="ZN207" s="182" t="s">
        <v>558</v>
      </c>
      <c r="ZO207" s="182">
        <v>1200</v>
      </c>
      <c r="ZP207" s="198">
        <v>376.8</v>
      </c>
      <c r="ZQ207" s="92"/>
      <c r="ZR207" s="92"/>
      <c r="ZS207" s="92"/>
      <c r="ZT207" s="92"/>
    </row>
    <row r="208" spans="688:696" ht="43.2">
      <c r="ZL208" s="182" t="str">
        <f t="shared" si="74"/>
        <v>TOULOUSE -CASABLANCA</v>
      </c>
      <c r="ZM208" s="183" t="s">
        <v>546</v>
      </c>
      <c r="ZN208" s="182" t="s">
        <v>545</v>
      </c>
      <c r="ZO208" s="182">
        <v>1362</v>
      </c>
      <c r="ZP208" s="198">
        <v>324.15600000000001</v>
      </c>
      <c r="ZQ208" s="92"/>
      <c r="ZR208" s="92"/>
      <c r="ZS208" s="92"/>
      <c r="ZT208" s="92"/>
    </row>
    <row r="209" spans="688:696" ht="28.8">
      <c r="ZL209" s="182" t="str">
        <f t="shared" si="74"/>
        <v>TUNIS -MARSEILLE</v>
      </c>
      <c r="ZM209" s="183" t="s">
        <v>645</v>
      </c>
      <c r="ZN209" s="182" t="s">
        <v>547</v>
      </c>
      <c r="ZO209" s="182">
        <v>827</v>
      </c>
      <c r="ZP209" s="198">
        <v>259.678</v>
      </c>
      <c r="ZQ209" s="92"/>
      <c r="ZR209" s="92"/>
      <c r="ZS209" s="92"/>
      <c r="ZT209" s="92"/>
    </row>
    <row r="210" spans="688:696" ht="28.8">
      <c r="ZL210" s="182" t="str">
        <f t="shared" si="74"/>
        <v>TURIN -MADRID</v>
      </c>
      <c r="ZM210" s="183" t="s">
        <v>543</v>
      </c>
      <c r="ZN210" s="182" t="s">
        <v>542</v>
      </c>
      <c r="ZO210" s="182">
        <v>1063</v>
      </c>
      <c r="ZP210" s="198">
        <v>252.994</v>
      </c>
      <c r="ZQ210" s="92"/>
      <c r="ZR210" s="92"/>
      <c r="ZS210" s="92"/>
      <c r="ZT210" s="92"/>
    </row>
    <row r="211" spans="688:696" ht="28.8">
      <c r="ZL211" s="182" t="str">
        <f t="shared" si="74"/>
        <v>VARSOVIE -LYON</v>
      </c>
      <c r="ZM211" s="183" t="s">
        <v>538</v>
      </c>
      <c r="ZN211" s="182" t="s">
        <v>517</v>
      </c>
      <c r="ZO211" s="182">
        <v>1378</v>
      </c>
      <c r="ZP211" s="198">
        <v>355.524</v>
      </c>
      <c r="ZQ211" s="92"/>
      <c r="ZR211" s="92"/>
      <c r="ZS211" s="92"/>
      <c r="ZT211" s="92"/>
    </row>
    <row r="212" spans="688:696" ht="28.8">
      <c r="ZL212" s="182" t="str">
        <f t="shared" si="74"/>
        <v>VENISE -LYON</v>
      </c>
      <c r="ZM212" s="183" t="s">
        <v>630</v>
      </c>
      <c r="ZN212" s="182" t="s">
        <v>517</v>
      </c>
      <c r="ZO212" s="182">
        <v>916</v>
      </c>
      <c r="ZP212" s="198">
        <v>287.62400000000002</v>
      </c>
      <c r="ZQ212" s="92"/>
      <c r="ZR212" s="92"/>
      <c r="ZS212" s="92"/>
      <c r="ZT212" s="92"/>
    </row>
    <row r="213" spans="688:696" ht="28.8">
      <c r="ZL213" s="182" t="str">
        <f t="shared" si="74"/>
        <v>VIENNE -LYON</v>
      </c>
      <c r="ZM213" s="183" t="s">
        <v>603</v>
      </c>
      <c r="ZN213" s="182" t="s">
        <v>517</v>
      </c>
      <c r="ZO213" s="182">
        <v>916</v>
      </c>
      <c r="ZP213" s="198">
        <v>287.62400000000002</v>
      </c>
      <c r="ZQ213" s="92"/>
      <c r="ZR213" s="92"/>
      <c r="ZS213" s="92"/>
      <c r="ZT213" s="92"/>
    </row>
    <row r="214" spans="688:696" ht="28.8">
      <c r="ZL214" s="182" t="str">
        <f t="shared" si="74"/>
        <v>XIAN -WEIHAI</v>
      </c>
      <c r="ZM214" s="183" t="s">
        <v>662</v>
      </c>
      <c r="ZN214" s="182" t="s">
        <v>702</v>
      </c>
      <c r="ZO214" s="182">
        <v>1240</v>
      </c>
      <c r="ZP214" s="198">
        <v>319.92</v>
      </c>
      <c r="ZQ214" s="92"/>
      <c r="ZR214" s="92"/>
      <c r="ZS214" s="92"/>
      <c r="ZT214" s="92"/>
    </row>
    <row r="215" spans="688:696" ht="28.8">
      <c r="ZL215" s="182" t="str">
        <f t="shared" si="74"/>
        <v>XIAN -SHANGAI</v>
      </c>
      <c r="ZM215" s="183" t="s">
        <v>662</v>
      </c>
      <c r="ZN215" s="182" t="s">
        <v>610</v>
      </c>
      <c r="ZO215" s="182">
        <v>1218</v>
      </c>
      <c r="ZP215" s="198">
        <v>314.24400000000003</v>
      </c>
      <c r="ZQ215" s="92"/>
      <c r="ZR215" s="92"/>
      <c r="ZS215" s="92"/>
      <c r="ZT215" s="92"/>
    </row>
    <row r="216" spans="688:696">
      <c r="ZL216" s="182" t="str">
        <f t="shared" si="74"/>
        <v>XIAN -TAIPEI</v>
      </c>
      <c r="ZM216" s="183" t="s">
        <v>662</v>
      </c>
      <c r="ZN216" s="182" t="s">
        <v>682</v>
      </c>
      <c r="ZO216" s="182">
        <v>1588</v>
      </c>
      <c r="ZP216" s="198">
        <v>409.70400000000001</v>
      </c>
      <c r="ZQ216" s="92"/>
      <c r="ZR216" s="92"/>
      <c r="ZS216" s="92"/>
      <c r="ZT216" s="92"/>
    </row>
    <row r="217" spans="688:696" ht="28.8">
      <c r="ZL217" s="182" t="str">
        <f t="shared" si="74"/>
        <v>ZURICH -LYON</v>
      </c>
      <c r="ZM217" s="183" t="s">
        <v>643</v>
      </c>
      <c r="ZN217" s="182" t="s">
        <v>517</v>
      </c>
      <c r="ZO217" s="182">
        <v>336</v>
      </c>
      <c r="ZP217" s="198">
        <v>105.504</v>
      </c>
      <c r="ZQ217" s="92"/>
      <c r="ZR217" s="92"/>
      <c r="ZS217" s="92"/>
      <c r="ZT217" s="92"/>
    </row>
  </sheetData>
  <mergeCells count="7">
    <mergeCell ref="D51:D57"/>
    <mergeCell ref="D59:D65"/>
    <mergeCell ref="ZS21:ZT22"/>
    <mergeCell ref="D18:T18"/>
    <mergeCell ref="D32:T32"/>
    <mergeCell ref="D36:D41"/>
    <mergeCell ref="D43:D49"/>
  </mergeCells>
  <dataValidations count="1">
    <dataValidation type="list" allowBlank="1" showInputMessage="1" showErrorMessage="1" sqref="ZS24" xr:uid="{E890CDCD-0F76-4484-9F85-ADF8DB503255}">
      <formula1>$A$18:$A$214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5CE25-48A3-4C25-A381-1E12892D0CDE}">
  <sheetPr>
    <tabColor theme="2" tint="-0.249977111117893"/>
  </sheetPr>
  <dimension ref="A1:M20"/>
  <sheetViews>
    <sheetView showGridLines="0" zoomScale="85" zoomScaleNormal="85" workbookViewId="0">
      <selection activeCell="I24" sqref="I24"/>
    </sheetView>
  </sheetViews>
  <sheetFormatPr baseColWidth="10" defaultRowHeight="14.4"/>
  <cols>
    <col min="2" max="2" width="16.21875" customWidth="1"/>
    <col min="3" max="3" width="19.33203125" bestFit="1" customWidth="1"/>
    <col min="4" max="4" width="9.44140625" customWidth="1"/>
    <col min="5" max="5" width="16" customWidth="1"/>
    <col min="6" max="6" width="19.33203125" bestFit="1" customWidth="1"/>
    <col min="7" max="7" width="8.6640625" customWidth="1"/>
    <col min="8" max="8" width="16.6640625" customWidth="1"/>
    <col min="9" max="9" width="19.33203125" bestFit="1" customWidth="1"/>
    <col min="10" max="10" width="8.44140625" customWidth="1"/>
    <col min="11" max="11" width="8.109375" customWidth="1"/>
    <col min="12" max="12" width="15.6640625" customWidth="1"/>
    <col min="13" max="13" width="18.33203125" bestFit="1" customWidth="1"/>
  </cols>
  <sheetData>
    <row r="1" spans="1:13">
      <c r="J1" s="570"/>
    </row>
    <row r="2" spans="1:13">
      <c r="A2" s="573" t="s">
        <v>1119</v>
      </c>
      <c r="B2" s="571"/>
      <c r="C2" s="571"/>
      <c r="D2" s="571"/>
      <c r="E2" s="571"/>
      <c r="F2" s="571"/>
      <c r="G2" s="571"/>
      <c r="H2" s="571"/>
      <c r="I2" s="571"/>
      <c r="J2" s="572"/>
    </row>
    <row r="3" spans="1:13">
      <c r="J3" s="570"/>
    </row>
    <row r="4" spans="1:13">
      <c r="J4" s="570"/>
    </row>
    <row r="5" spans="1:13">
      <c r="B5" s="569" t="s">
        <v>1115</v>
      </c>
      <c r="C5" s="565"/>
      <c r="E5" s="38" t="s">
        <v>1116</v>
      </c>
      <c r="H5" s="38" t="s">
        <v>1117</v>
      </c>
      <c r="J5" s="570"/>
      <c r="L5" s="38" t="s">
        <v>1118</v>
      </c>
    </row>
    <row r="6" spans="1:13">
      <c r="B6" s="38" t="s">
        <v>170</v>
      </c>
      <c r="C6" s="369" t="s">
        <v>1073</v>
      </c>
      <c r="E6" t="s">
        <v>170</v>
      </c>
      <c r="F6" t="s">
        <v>1073</v>
      </c>
      <c r="H6" t="s">
        <v>170</v>
      </c>
      <c r="I6" t="s">
        <v>1073</v>
      </c>
      <c r="J6" s="570"/>
      <c r="L6" t="s">
        <v>170</v>
      </c>
      <c r="M6" s="508" t="s">
        <v>1073</v>
      </c>
    </row>
    <row r="7" spans="1:13">
      <c r="B7" s="38" t="s">
        <v>180</v>
      </c>
      <c r="C7" s="508">
        <v>22.159122077435356</v>
      </c>
      <c r="E7" t="s">
        <v>175</v>
      </c>
      <c r="F7" s="508">
        <v>103.652</v>
      </c>
      <c r="H7" t="s">
        <v>180</v>
      </c>
      <c r="I7" s="508">
        <v>59.826999999999991</v>
      </c>
      <c r="J7" s="570"/>
      <c r="L7" t="s">
        <v>180</v>
      </c>
      <c r="M7" s="508">
        <f>VLOOKUP(L7,Tableau6[],2,FALSE)+VLOOKUP(L7,Tableau7[],2,FALSE)+VLOOKUP(L7,Tableau8[],2,FALSE)</f>
        <v>100.69812207743536</v>
      </c>
    </row>
    <row r="8" spans="1:13">
      <c r="B8" s="38" t="s">
        <v>173</v>
      </c>
      <c r="C8" s="508">
        <v>312.64816880395676</v>
      </c>
      <c r="E8" t="s">
        <v>177</v>
      </c>
      <c r="F8" s="508">
        <v>64.544999999999987</v>
      </c>
      <c r="H8" t="s">
        <v>173</v>
      </c>
      <c r="I8" s="508">
        <v>0</v>
      </c>
      <c r="J8" s="570"/>
      <c r="L8" t="s">
        <v>173</v>
      </c>
      <c r="M8" s="508">
        <f>VLOOKUP(L8,Tableau6[],2,FALSE)+VLOOKUP(L8,Tableau7[],2,FALSE)+VLOOKUP(L8,Tableau8[],2,FALSE)</f>
        <v>312.64816880395676</v>
      </c>
    </row>
    <row r="9" spans="1:13">
      <c r="B9" s="38" t="s">
        <v>177</v>
      </c>
      <c r="C9" s="508">
        <v>20.10170864302189</v>
      </c>
      <c r="E9" t="s">
        <v>178</v>
      </c>
      <c r="F9" s="508">
        <v>51.521999999999998</v>
      </c>
      <c r="H9" t="s">
        <v>177</v>
      </c>
      <c r="I9" s="508">
        <v>88.539999999999978</v>
      </c>
      <c r="J9" s="570"/>
      <c r="L9" t="s">
        <v>177</v>
      </c>
      <c r="M9" s="508">
        <f>VLOOKUP(L9,Tableau6[],2,FALSE)+VLOOKUP(L9,Tableau7[],2,FALSE)+VLOOKUP(L9,Tableau8[],2,FALSE)</f>
        <v>173.18670864302186</v>
      </c>
    </row>
    <row r="10" spans="1:13">
      <c r="B10" s="38" t="s">
        <v>183</v>
      </c>
      <c r="C10" s="508">
        <v>44.109654920384635</v>
      </c>
      <c r="E10" t="s">
        <v>176</v>
      </c>
      <c r="F10" s="508">
        <v>49.613</v>
      </c>
      <c r="H10" t="s">
        <v>183</v>
      </c>
      <c r="I10" s="508">
        <v>94.012999999999963</v>
      </c>
      <c r="J10" s="570"/>
      <c r="L10" t="s">
        <v>183</v>
      </c>
      <c r="M10" s="508">
        <f>VLOOKUP(L10,Tableau6[],2,FALSE)+VLOOKUP(L10,Tableau7[],2,FALSE)+VLOOKUP(L10,Tableau8[],2,FALSE)</f>
        <v>157.50365492038461</v>
      </c>
    </row>
    <row r="11" spans="1:13">
      <c r="B11" s="38" t="s">
        <v>176</v>
      </c>
      <c r="C11" s="508">
        <v>129.97993168221237</v>
      </c>
      <c r="E11" t="s">
        <v>179</v>
      </c>
      <c r="F11" s="508">
        <v>44.259999999999984</v>
      </c>
      <c r="H11" t="s">
        <v>176</v>
      </c>
      <c r="I11" s="508">
        <v>36.761999999999993</v>
      </c>
      <c r="J11" s="570"/>
      <c r="L11" t="s">
        <v>176</v>
      </c>
      <c r="M11" s="508">
        <f>VLOOKUP(L11,Tableau6[],2,FALSE)+VLOOKUP(L11,Tableau7[],2,FALSE)+VLOOKUP(L11,Tableau8[],2,FALSE)</f>
        <v>216.35493168221237</v>
      </c>
    </row>
    <row r="12" spans="1:13">
      <c r="B12" s="38" t="s">
        <v>178</v>
      </c>
      <c r="C12" s="508">
        <v>20.246025893477459</v>
      </c>
      <c r="E12" t="s">
        <v>181</v>
      </c>
      <c r="F12" s="508">
        <v>28.555999999999997</v>
      </c>
      <c r="H12" t="s">
        <v>178</v>
      </c>
      <c r="I12" s="508">
        <v>126.97899999999994</v>
      </c>
      <c r="J12" s="570"/>
      <c r="L12" t="s">
        <v>178</v>
      </c>
      <c r="M12" s="508">
        <f>VLOOKUP(L12,Tableau6[],2,FALSE)+VLOOKUP(L12,Tableau7[],2,FALSE)+VLOOKUP(L12,Tableau8[],2,FALSE)</f>
        <v>198.7470258934774</v>
      </c>
    </row>
    <row r="13" spans="1:13">
      <c r="B13" s="38" t="s">
        <v>175</v>
      </c>
      <c r="C13" s="508">
        <v>50.732877124953916</v>
      </c>
      <c r="E13" t="s">
        <v>183</v>
      </c>
      <c r="F13" s="508">
        <v>19.381000000000004</v>
      </c>
      <c r="H13" t="s">
        <v>175</v>
      </c>
      <c r="I13" s="508">
        <v>275.13900000000092</v>
      </c>
      <c r="J13" s="570"/>
      <c r="L13" t="s">
        <v>175</v>
      </c>
      <c r="M13" s="508">
        <f>VLOOKUP(L13,Tableau6[],2,FALSE)+VLOOKUP(L13,Tableau7[],2,FALSE)+VLOOKUP(L13,Tableau8[],2,FALSE)</f>
        <v>429.52387712495482</v>
      </c>
    </row>
    <row r="14" spans="1:13">
      <c r="B14" s="38" t="s">
        <v>182</v>
      </c>
      <c r="C14" s="508">
        <v>45.153424441749578</v>
      </c>
      <c r="E14" t="s">
        <v>180</v>
      </c>
      <c r="F14" s="508">
        <v>18.712000000000003</v>
      </c>
      <c r="H14" t="s">
        <v>182</v>
      </c>
      <c r="I14" s="508">
        <v>105.95299999999997</v>
      </c>
      <c r="J14" s="570"/>
      <c r="L14" t="s">
        <v>182</v>
      </c>
      <c r="M14" s="508">
        <f>VLOOKUP(L14,Tableau6[],2,FALSE)+VLOOKUP(L14,Tableau7[],2,FALSE)+VLOOKUP(L14,Tableau8[],2,FALSE)</f>
        <v>162.95942444174955</v>
      </c>
    </row>
    <row r="15" spans="1:13">
      <c r="B15" s="38" t="s">
        <v>181</v>
      </c>
      <c r="C15" s="508">
        <v>29.190693956045539</v>
      </c>
      <c r="E15" t="s">
        <v>182</v>
      </c>
      <c r="F15" s="508">
        <v>11.853000000000002</v>
      </c>
      <c r="H15" t="s">
        <v>181</v>
      </c>
      <c r="I15" s="508">
        <v>107.82399999999997</v>
      </c>
      <c r="J15" s="570"/>
      <c r="L15" t="s">
        <v>181</v>
      </c>
      <c r="M15" s="508">
        <f>VLOOKUP(L15,Tableau6[],2,FALSE)+VLOOKUP(L15,Tableau7[],2,FALSE)+VLOOKUP(L15,Tableau8[],2,FALSE)</f>
        <v>165.57069395604549</v>
      </c>
    </row>
    <row r="16" spans="1:13">
      <c r="B16" s="38" t="s">
        <v>179</v>
      </c>
      <c r="C16" s="508">
        <v>15.050802529816622</v>
      </c>
      <c r="E16" t="s">
        <v>173</v>
      </c>
      <c r="F16" s="508">
        <v>0</v>
      </c>
      <c r="H16" t="s">
        <v>179</v>
      </c>
      <c r="I16" s="508">
        <v>99.93799999999996</v>
      </c>
      <c r="J16" s="570"/>
      <c r="L16" t="s">
        <v>179</v>
      </c>
      <c r="M16" s="508">
        <f>VLOOKUP(L16,Tableau6[],2,FALSE)+VLOOKUP(L16,Tableau7[],2,FALSE)+VLOOKUP(L16,Tableau8[],2,FALSE)</f>
        <v>159.24880252981657</v>
      </c>
    </row>
    <row r="17" spans="2:13">
      <c r="B17" s="38" t="s">
        <v>2</v>
      </c>
      <c r="C17" s="508">
        <f>SUBTOTAL(109,Tableau6[Emissions (tCO2e)])</f>
        <v>689.3724100730542</v>
      </c>
      <c r="E17" t="s">
        <v>2</v>
      </c>
      <c r="F17" s="508">
        <f>SUBTOTAL(109,Tableau7[Emissions (tCO2e)])</f>
        <v>392.09399999999999</v>
      </c>
      <c r="H17" t="s">
        <v>2</v>
      </c>
      <c r="I17" s="508">
        <f>SUBTOTAL(109,Tableau8[Emissions (tCO2e)])</f>
        <v>994.9750000000007</v>
      </c>
      <c r="J17" s="570"/>
      <c r="L17" t="s">
        <v>2</v>
      </c>
      <c r="M17" s="508">
        <f>SUBTOTAL(109,Tableau9[Emissions (tCO2e)])</f>
        <v>2076.4414100730551</v>
      </c>
    </row>
    <row r="18" spans="2:13">
      <c r="J18" s="570"/>
    </row>
    <row r="19" spans="2:13">
      <c r="J19" s="570"/>
    </row>
    <row r="20" spans="2:13">
      <c r="J20" s="570"/>
    </row>
  </sheetData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A566B-62E2-4523-BDD1-BEB2352908B5}">
  <sheetPr>
    <tabColor theme="6"/>
  </sheetPr>
  <dimension ref="B2:AA1663"/>
  <sheetViews>
    <sheetView showGridLines="0" zoomScale="73" zoomScaleNormal="110" workbookViewId="0">
      <selection activeCell="E23" sqref="E23"/>
    </sheetView>
  </sheetViews>
  <sheetFormatPr baseColWidth="10" defaultColWidth="11.44140625" defaultRowHeight="13.2"/>
  <cols>
    <col min="1" max="1" width="11.44140625" style="281"/>
    <col min="2" max="2" width="27.33203125" style="281" customWidth="1"/>
    <col min="3" max="3" width="17.44140625" style="281" customWidth="1"/>
    <col min="4" max="4" width="20.44140625" style="281" customWidth="1"/>
    <col min="5" max="5" width="20.109375" style="281" customWidth="1"/>
    <col min="6" max="6" width="14.77734375" style="281" customWidth="1"/>
    <col min="7" max="7" width="9.77734375" style="281" customWidth="1"/>
    <col min="8" max="8" width="12.77734375" style="281" customWidth="1"/>
    <col min="9" max="9" width="28.44140625" style="281" customWidth="1"/>
    <col min="10" max="10" width="18.33203125" style="281" customWidth="1"/>
    <col min="11" max="11" width="10.109375" style="281" customWidth="1"/>
    <col min="12" max="12" width="20" style="281" customWidth="1"/>
    <col min="13" max="13" width="11" style="281" customWidth="1"/>
    <col min="14" max="14" width="18.33203125" style="281" customWidth="1"/>
    <col min="15" max="15" width="21.6640625" style="281" customWidth="1"/>
    <col min="16" max="16" width="29.6640625" style="281" customWidth="1"/>
    <col min="17" max="17" width="29.44140625" style="281" customWidth="1"/>
    <col min="18" max="18" width="26.44140625" style="281" hidden="1" customWidth="1"/>
    <col min="19" max="19" width="12.109375" style="281" hidden="1" customWidth="1"/>
    <col min="20" max="20" width="12.33203125" style="281" hidden="1" customWidth="1"/>
    <col min="21" max="21" width="26.44140625" style="281" customWidth="1"/>
    <col min="22" max="22" width="21.77734375" style="281" hidden="1" customWidth="1"/>
    <col min="23" max="23" width="26.44140625" style="281" customWidth="1"/>
    <col min="24" max="24" width="22.109375" style="281" hidden="1" customWidth="1"/>
    <col min="25" max="25" width="22" style="281" customWidth="1"/>
    <col min="26" max="26" width="14" style="281" customWidth="1"/>
    <col min="27" max="27" width="18.6640625" style="281" customWidth="1"/>
    <col min="28" max="30" width="11.44140625" style="281"/>
    <col min="31" max="31" width="20.77734375" style="281" customWidth="1"/>
    <col min="32" max="32" width="40.109375" style="281" customWidth="1"/>
    <col min="33" max="16384" width="11.44140625" style="281"/>
  </cols>
  <sheetData>
    <row r="2" spans="2:27">
      <c r="Q2" s="281" t="s">
        <v>931</v>
      </c>
    </row>
    <row r="3" spans="2:27" ht="28.95" customHeight="1">
      <c r="B3" s="751" t="s">
        <v>892</v>
      </c>
      <c r="C3" s="751"/>
      <c r="D3" s="751"/>
      <c r="E3" s="751"/>
      <c r="F3" s="751"/>
      <c r="G3" s="751"/>
      <c r="H3" s="751"/>
      <c r="I3" s="751"/>
      <c r="J3" s="751"/>
      <c r="K3" s="751"/>
      <c r="L3" s="751"/>
      <c r="M3" s="751"/>
      <c r="P3" s="333"/>
      <c r="Q3" s="346" t="s">
        <v>891</v>
      </c>
      <c r="R3" s="346"/>
      <c r="S3" s="346" t="s">
        <v>922</v>
      </c>
      <c r="T3" s="346" t="s">
        <v>889</v>
      </c>
      <c r="U3" s="347" t="s">
        <v>923</v>
      </c>
      <c r="V3" s="347" t="s">
        <v>888</v>
      </c>
      <c r="W3" s="347" t="s">
        <v>924</v>
      </c>
      <c r="X3" s="347" t="s">
        <v>887</v>
      </c>
      <c r="Y3" s="347" t="s">
        <v>925</v>
      </c>
      <c r="Z3" s="347" t="s">
        <v>29</v>
      </c>
      <c r="AA3" s="347" t="s">
        <v>932</v>
      </c>
    </row>
    <row r="4" spans="2:27" s="293" customFormat="1">
      <c r="B4" s="752" t="s">
        <v>834</v>
      </c>
      <c r="C4" s="752"/>
      <c r="D4" s="752"/>
      <c r="E4" s="752"/>
      <c r="F4" s="752"/>
      <c r="G4" s="752"/>
      <c r="H4" s="752"/>
      <c r="I4" s="752"/>
      <c r="J4" s="749" t="s">
        <v>835</v>
      </c>
      <c r="K4" s="750"/>
      <c r="L4" s="750"/>
      <c r="M4" s="750"/>
      <c r="N4" s="281"/>
      <c r="P4" s="333">
        <v>1</v>
      </c>
      <c r="Q4" s="348" t="s">
        <v>844</v>
      </c>
      <c r="R4" s="349">
        <f>COUNTIF($G$28:$G$1662,"1")</f>
        <v>191</v>
      </c>
      <c r="S4" s="349"/>
      <c r="T4" s="349">
        <f t="shared" ref="T4:T10" si="0">COUNTIF($M$28:$M$1662,P4)</f>
        <v>126</v>
      </c>
      <c r="U4" s="350">
        <f t="shared" ref="U4:U10" si="1">T4/$T$11</f>
        <v>0.10687022900763359</v>
      </c>
      <c r="V4" s="349">
        <f t="shared" ref="V4:V10" si="2">COUNTIF($N$27:$N$1661,P4)</f>
        <v>20</v>
      </c>
      <c r="W4" s="350">
        <f t="shared" ref="W4:W10" si="3">V4/$V$11</f>
        <v>0.10256410256410256</v>
      </c>
      <c r="X4" s="349">
        <f>COUNTIF($O$28:$O$1663,P4)</f>
        <v>38</v>
      </c>
      <c r="Y4" s="350">
        <f t="shared" ref="Y4:Y10" si="4">X4/$X$11</f>
        <v>0.16101694915254236</v>
      </c>
      <c r="Z4" s="349">
        <f>COUNTIF($P$28:$P$1663,P4)</f>
        <v>7</v>
      </c>
      <c r="AA4" s="350">
        <f t="shared" ref="AA4:AA10" si="5">Z4/$X$11</f>
        <v>2.9661016949152543E-2</v>
      </c>
    </row>
    <row r="5" spans="2:27">
      <c r="B5" s="282" t="s">
        <v>836</v>
      </c>
      <c r="C5" s="282" t="s">
        <v>837</v>
      </c>
      <c r="D5" s="282" t="s">
        <v>838</v>
      </c>
      <c r="E5" s="282" t="s">
        <v>839</v>
      </c>
      <c r="F5" s="754" t="s">
        <v>840</v>
      </c>
      <c r="G5" s="754"/>
      <c r="H5" s="754"/>
      <c r="I5" s="754"/>
      <c r="J5" s="302" t="s">
        <v>841</v>
      </c>
      <c r="K5" s="307" t="s">
        <v>842</v>
      </c>
      <c r="L5" s="307"/>
      <c r="M5" s="307" t="s">
        <v>843</v>
      </c>
      <c r="P5" s="333">
        <v>2</v>
      </c>
      <c r="Q5" s="348" t="s">
        <v>848</v>
      </c>
      <c r="R5" s="349">
        <f>COUNTIF($G$28:$G$1662,"2")</f>
        <v>56</v>
      </c>
      <c r="S5" s="349"/>
      <c r="T5" s="349">
        <f t="shared" si="0"/>
        <v>28</v>
      </c>
      <c r="U5" s="350">
        <f t="shared" si="1"/>
        <v>2.3748939779474131E-2</v>
      </c>
      <c r="V5" s="349">
        <f t="shared" si="2"/>
        <v>9</v>
      </c>
      <c r="W5" s="350">
        <f t="shared" si="3"/>
        <v>4.6153846153846156E-2</v>
      </c>
      <c r="X5" s="349">
        <f t="shared" ref="X5:X10" si="6">COUNTIF($O$29:$O$1663,P5)</f>
        <v>19</v>
      </c>
      <c r="Y5" s="350">
        <f t="shared" si="4"/>
        <v>8.050847457627118E-2</v>
      </c>
      <c r="Z5" s="349">
        <f t="shared" ref="Z5:Z10" si="7">COUNTIF($P$28:$P$1663,P5)</f>
        <v>0</v>
      </c>
      <c r="AA5" s="350">
        <f t="shared" si="5"/>
        <v>0</v>
      </c>
    </row>
    <row r="6" spans="2:27">
      <c r="B6" s="283" t="s">
        <v>844</v>
      </c>
      <c r="C6" s="343">
        <v>2.9299999999999999E-3</v>
      </c>
      <c r="D6" s="283" t="s">
        <v>845</v>
      </c>
      <c r="E6" s="284">
        <v>0.6</v>
      </c>
      <c r="F6" s="755" t="s">
        <v>846</v>
      </c>
      <c r="G6" s="755"/>
      <c r="H6" s="755"/>
      <c r="I6" s="755"/>
      <c r="J6" s="308">
        <v>60</v>
      </c>
      <c r="K6" s="309">
        <v>25</v>
      </c>
      <c r="L6" s="309"/>
      <c r="M6" s="309" t="s">
        <v>847</v>
      </c>
      <c r="P6" s="333">
        <v>3</v>
      </c>
      <c r="Q6" s="348" t="s">
        <v>850</v>
      </c>
      <c r="R6" s="349">
        <f>COUNTIF($G$28:$G$1662,"3")</f>
        <v>204</v>
      </c>
      <c r="S6" s="349"/>
      <c r="T6" s="349">
        <f t="shared" si="0"/>
        <v>34</v>
      </c>
      <c r="U6" s="350">
        <f t="shared" si="1"/>
        <v>2.883799830364716E-2</v>
      </c>
      <c r="V6" s="349">
        <f t="shared" si="2"/>
        <v>59</v>
      </c>
      <c r="W6" s="350">
        <f t="shared" si="3"/>
        <v>0.30256410256410254</v>
      </c>
      <c r="X6" s="349">
        <f t="shared" si="6"/>
        <v>106</v>
      </c>
      <c r="Y6" s="350">
        <f t="shared" si="4"/>
        <v>0.44915254237288138</v>
      </c>
      <c r="Z6" s="349">
        <f t="shared" si="7"/>
        <v>5</v>
      </c>
      <c r="AA6" s="350">
        <f t="shared" si="5"/>
        <v>2.1186440677966101E-2</v>
      </c>
    </row>
    <row r="7" spans="2:27">
      <c r="B7" s="283" t="s">
        <v>848</v>
      </c>
      <c r="C7" s="343">
        <v>0.129</v>
      </c>
      <c r="D7" s="283" t="s">
        <v>845</v>
      </c>
      <c r="E7" s="284">
        <v>0.6</v>
      </c>
      <c r="F7" s="756" t="s">
        <v>849</v>
      </c>
      <c r="G7" s="756"/>
      <c r="H7" s="756"/>
      <c r="I7" s="756"/>
      <c r="J7" s="308">
        <v>60</v>
      </c>
      <c r="K7" s="309">
        <v>15</v>
      </c>
      <c r="L7" s="309"/>
      <c r="M7" s="309" t="s">
        <v>847</v>
      </c>
      <c r="P7" s="333">
        <v>4</v>
      </c>
      <c r="Q7" s="348" t="s">
        <v>852</v>
      </c>
      <c r="R7" s="349">
        <f>COUNTIF($G$28:$G$1662,"4")</f>
        <v>26</v>
      </c>
      <c r="S7" s="349"/>
      <c r="T7" s="349">
        <f t="shared" si="0"/>
        <v>10</v>
      </c>
      <c r="U7" s="350">
        <f t="shared" si="1"/>
        <v>8.4817642069550461E-3</v>
      </c>
      <c r="V7" s="349">
        <f t="shared" si="2"/>
        <v>8</v>
      </c>
      <c r="W7" s="350">
        <f t="shared" si="3"/>
        <v>4.1025641025641026E-2</v>
      </c>
      <c r="X7" s="349">
        <f t="shared" si="6"/>
        <v>7</v>
      </c>
      <c r="Y7" s="350">
        <f t="shared" si="4"/>
        <v>2.9661016949152543E-2</v>
      </c>
      <c r="Z7" s="349">
        <f t="shared" si="7"/>
        <v>1</v>
      </c>
      <c r="AA7" s="350">
        <f t="shared" si="5"/>
        <v>4.2372881355932203E-3</v>
      </c>
    </row>
    <row r="8" spans="2:27" ht="13.2" customHeight="1">
      <c r="B8" s="283" t="s">
        <v>850</v>
      </c>
      <c r="C8" s="343">
        <v>0.13800000000000001</v>
      </c>
      <c r="D8" s="283" t="s">
        <v>845</v>
      </c>
      <c r="E8" s="284">
        <v>0.6</v>
      </c>
      <c r="F8" s="756" t="s">
        <v>851</v>
      </c>
      <c r="G8" s="756"/>
      <c r="H8" s="756"/>
      <c r="I8" s="756"/>
      <c r="J8" s="308">
        <v>60</v>
      </c>
      <c r="K8" s="309">
        <v>30</v>
      </c>
      <c r="L8" s="309"/>
      <c r="M8" s="309" t="s">
        <v>847</v>
      </c>
      <c r="P8" s="333">
        <v>5</v>
      </c>
      <c r="Q8" s="348" t="s">
        <v>854</v>
      </c>
      <c r="R8" s="349">
        <f>COUNTIF($G$28:$G$1662,"5")</f>
        <v>10</v>
      </c>
      <c r="S8" s="349"/>
      <c r="T8" s="349">
        <f t="shared" si="0"/>
        <v>2</v>
      </c>
      <c r="U8" s="350">
        <f t="shared" si="1"/>
        <v>1.6963528413910093E-3</v>
      </c>
      <c r="V8" s="349">
        <f t="shared" si="2"/>
        <v>6</v>
      </c>
      <c r="W8" s="350">
        <f t="shared" si="3"/>
        <v>3.0769230769230771E-2</v>
      </c>
      <c r="X8" s="349">
        <f t="shared" si="6"/>
        <v>2</v>
      </c>
      <c r="Y8" s="350">
        <f t="shared" si="4"/>
        <v>8.4745762711864406E-3</v>
      </c>
      <c r="Z8" s="349">
        <f t="shared" si="7"/>
        <v>0</v>
      </c>
      <c r="AA8" s="350">
        <f t="shared" si="5"/>
        <v>0</v>
      </c>
    </row>
    <row r="9" spans="2:27">
      <c r="B9" s="283" t="s">
        <v>852</v>
      </c>
      <c r="C9" s="343">
        <f>C8*0.25</f>
        <v>3.4500000000000003E-2</v>
      </c>
      <c r="D9" s="283" t="s">
        <v>845</v>
      </c>
      <c r="E9" s="284">
        <v>0.75</v>
      </c>
      <c r="F9" s="756" t="s">
        <v>853</v>
      </c>
      <c r="G9" s="756"/>
      <c r="H9" s="756"/>
      <c r="I9" s="756"/>
      <c r="J9" s="308">
        <v>60</v>
      </c>
      <c r="K9" s="309">
        <v>30</v>
      </c>
      <c r="L9" s="309"/>
      <c r="M9" s="309" t="s">
        <v>847</v>
      </c>
      <c r="P9" s="333">
        <v>6</v>
      </c>
      <c r="Q9" s="351" t="s">
        <v>856</v>
      </c>
      <c r="R9" s="349">
        <f>COUNTIF($G$28:$G$1662,"6")</f>
        <v>18</v>
      </c>
      <c r="S9" s="349"/>
      <c r="T9" s="349">
        <f t="shared" si="0"/>
        <v>8</v>
      </c>
      <c r="U9" s="350">
        <f t="shared" si="1"/>
        <v>6.7854113655640372E-3</v>
      </c>
      <c r="V9" s="349">
        <f t="shared" si="2"/>
        <v>3</v>
      </c>
      <c r="W9" s="350">
        <f t="shared" si="3"/>
        <v>1.5384615384615385E-2</v>
      </c>
      <c r="X9" s="349">
        <f t="shared" si="6"/>
        <v>7</v>
      </c>
      <c r="Y9" s="350">
        <f t="shared" si="4"/>
        <v>2.9661016949152543E-2</v>
      </c>
      <c r="Z9" s="349">
        <f t="shared" si="7"/>
        <v>0</v>
      </c>
      <c r="AA9" s="350">
        <f t="shared" si="5"/>
        <v>0</v>
      </c>
    </row>
    <row r="10" spans="2:27">
      <c r="B10" s="283" t="s">
        <v>854</v>
      </c>
      <c r="C10" s="343">
        <v>6.4399999999999999E-2</v>
      </c>
      <c r="D10" s="283" t="s">
        <v>845</v>
      </c>
      <c r="E10" s="284">
        <v>0.6</v>
      </c>
      <c r="F10" s="756" t="s">
        <v>855</v>
      </c>
      <c r="G10" s="756"/>
      <c r="H10" s="756"/>
      <c r="I10" s="756"/>
      <c r="J10" s="308">
        <v>60</v>
      </c>
      <c r="K10" s="309">
        <v>30</v>
      </c>
      <c r="L10" s="309"/>
      <c r="M10" s="309" t="s">
        <v>847</v>
      </c>
      <c r="P10" s="333">
        <v>7</v>
      </c>
      <c r="Q10" s="348" t="s">
        <v>858</v>
      </c>
      <c r="R10" s="349">
        <f>COUNTIF($G$28:$G$1662,"7")</f>
        <v>1129</v>
      </c>
      <c r="S10" s="349"/>
      <c r="T10" s="349">
        <f t="shared" si="0"/>
        <v>971</v>
      </c>
      <c r="U10" s="350">
        <f t="shared" si="1"/>
        <v>0.82357930449533501</v>
      </c>
      <c r="V10" s="349">
        <f t="shared" si="2"/>
        <v>90</v>
      </c>
      <c r="W10" s="350">
        <f t="shared" si="3"/>
        <v>0.46153846153846156</v>
      </c>
      <c r="X10" s="349">
        <f t="shared" si="6"/>
        <v>57</v>
      </c>
      <c r="Y10" s="350">
        <f t="shared" si="4"/>
        <v>0.24152542372881355</v>
      </c>
      <c r="Z10" s="349">
        <f t="shared" si="7"/>
        <v>11</v>
      </c>
      <c r="AA10" s="350">
        <f t="shared" si="5"/>
        <v>4.6610169491525424E-2</v>
      </c>
    </row>
    <row r="11" spans="2:27">
      <c r="B11" s="286" t="s">
        <v>856</v>
      </c>
      <c r="C11" s="286">
        <f>0.00173</f>
        <v>1.73E-3</v>
      </c>
      <c r="D11" s="283" t="s">
        <v>845</v>
      </c>
      <c r="E11" s="284">
        <v>0.2</v>
      </c>
      <c r="F11" s="757" t="s">
        <v>857</v>
      </c>
      <c r="G11" s="757"/>
      <c r="H11" s="757"/>
      <c r="I11" s="757"/>
      <c r="J11" s="308">
        <v>60</v>
      </c>
      <c r="K11" s="309">
        <v>300</v>
      </c>
      <c r="L11" s="309"/>
      <c r="M11" s="309" t="s">
        <v>847</v>
      </c>
      <c r="P11" s="333"/>
      <c r="Q11" s="289" t="s">
        <v>874</v>
      </c>
      <c r="R11" s="290">
        <f>SUM(R4:R10)</f>
        <v>1634</v>
      </c>
      <c r="S11" s="290"/>
      <c r="T11" s="290">
        <f>SUM(T4:T10)</f>
        <v>1179</v>
      </c>
      <c r="U11" s="290"/>
      <c r="V11" s="290">
        <f>SUM(V4:V10)</f>
        <v>195</v>
      </c>
      <c r="W11" s="290"/>
      <c r="X11" s="290">
        <f>SUM(X4:X10)</f>
        <v>236</v>
      </c>
      <c r="Y11" s="290"/>
      <c r="Z11" s="290">
        <f>SUM(Z4:Z10)</f>
        <v>24</v>
      </c>
    </row>
    <row r="12" spans="2:27">
      <c r="B12" s="283" t="s">
        <v>858</v>
      </c>
      <c r="C12" s="343">
        <v>0</v>
      </c>
      <c r="D12" s="283" t="s">
        <v>845</v>
      </c>
      <c r="E12" s="283"/>
      <c r="F12" s="758" t="s">
        <v>859</v>
      </c>
      <c r="G12" s="758"/>
      <c r="H12" s="758"/>
      <c r="I12" s="758"/>
      <c r="J12" s="308">
        <v>60</v>
      </c>
      <c r="K12" s="309">
        <v>8</v>
      </c>
      <c r="L12" s="309"/>
      <c r="M12" s="309" t="s">
        <v>847</v>
      </c>
    </row>
    <row r="15" spans="2:27" ht="15.6">
      <c r="B15" s="751" t="s">
        <v>893</v>
      </c>
      <c r="C15" s="751"/>
      <c r="D15" s="751"/>
      <c r="E15" s="751"/>
      <c r="F15" s="751"/>
      <c r="G15" s="751"/>
      <c r="H15" s="751"/>
      <c r="I15" s="751"/>
      <c r="J15" s="751"/>
      <c r="K15" s="751"/>
      <c r="L15" s="751"/>
      <c r="M15" s="751"/>
      <c r="N15" s="751"/>
      <c r="O15" s="751"/>
      <c r="P15" s="751"/>
      <c r="Q15" s="751"/>
    </row>
    <row r="16" spans="2:27" s="295" customFormat="1">
      <c r="B16" s="753" t="s">
        <v>891</v>
      </c>
      <c r="C16" s="753"/>
      <c r="D16" s="753"/>
      <c r="E16" s="294"/>
      <c r="F16" s="743" t="s">
        <v>890</v>
      </c>
      <c r="G16" s="743"/>
      <c r="H16" s="744"/>
      <c r="I16" s="745" t="s">
        <v>894</v>
      </c>
      <c r="J16" s="745"/>
      <c r="K16" s="746" t="s">
        <v>898</v>
      </c>
      <c r="L16" s="747"/>
      <c r="M16" s="747"/>
      <c r="N16" s="748"/>
      <c r="O16" s="310" t="s">
        <v>895</v>
      </c>
      <c r="P16" s="311" t="s">
        <v>896</v>
      </c>
      <c r="Q16" s="311" t="s">
        <v>899</v>
      </c>
    </row>
    <row r="17" spans="2:23" ht="14.4">
      <c r="B17" s="283" t="s">
        <v>844</v>
      </c>
      <c r="C17" s="285">
        <f>COUNTIF($G$28:$G$1662,"1")</f>
        <v>191</v>
      </c>
      <c r="D17" s="288">
        <f t="shared" ref="D17:D23" si="8">C17/$C$24</f>
        <v>0.11689106487148103</v>
      </c>
      <c r="F17" s="296" t="s">
        <v>869</v>
      </c>
      <c r="G17" s="299">
        <f>COUNTIF(C28:C1662,"Etudiant(e) (y compris doctorant(e))")</f>
        <v>1179</v>
      </c>
      <c r="H17" s="300">
        <f>G17/G21</f>
        <v>0.72110091743119265</v>
      </c>
      <c r="I17" s="375">
        <f>SUMIF($C$28:$C$1662,"Etudiant(e) (y compris doctorant(e))",J28:J1662)</f>
        <v>148.35700000000014</v>
      </c>
      <c r="J17" s="292">
        <f>I17/I21</f>
        <v>0.2176423025229538</v>
      </c>
      <c r="K17" s="367">
        <v>150</v>
      </c>
      <c r="L17" s="329" t="s">
        <v>911</v>
      </c>
      <c r="M17" s="330">
        <f>I17*2*K17</f>
        <v>44507.100000000042</v>
      </c>
      <c r="N17" s="306">
        <f>M17/M21</f>
        <v>0.18819512205022693</v>
      </c>
      <c r="O17" s="304">
        <f>M17/G17</f>
        <v>37.749872773536929</v>
      </c>
      <c r="P17" s="316">
        <f>'Effectif INSA'!C13</f>
        <v>6133</v>
      </c>
      <c r="Q17" s="312">
        <f>P17*O17*0.001</f>
        <v>231.51996972010198</v>
      </c>
    </row>
    <row r="18" spans="2:23" ht="14.4">
      <c r="B18" s="283" t="s">
        <v>848</v>
      </c>
      <c r="C18" s="285">
        <f>COUNTIF($G$28:$G$1662,"2")</f>
        <v>56</v>
      </c>
      <c r="D18" s="288">
        <f t="shared" si="8"/>
        <v>3.4271725826193387E-2</v>
      </c>
      <c r="F18" s="297" t="s">
        <v>875</v>
      </c>
      <c r="G18" s="299">
        <f>COUNTIF(C28:C1663,"Enseignant(e)s-chercheur(e)s")</f>
        <v>195</v>
      </c>
      <c r="H18" s="300">
        <f>G18/G21</f>
        <v>0.11926605504587157</v>
      </c>
      <c r="I18" s="375">
        <f>SUMIF($C$28:$C$1662,"Enseignant(e)s-chercheur(e)s",J28:J1662)</f>
        <v>189.71266666666662</v>
      </c>
      <c r="J18" s="292">
        <f>I18/I21</f>
        <v>0.27831178570005399</v>
      </c>
      <c r="K18" s="367">
        <v>180</v>
      </c>
      <c r="L18" s="329" t="s">
        <v>911</v>
      </c>
      <c r="M18" s="330">
        <f>I18*2*K18</f>
        <v>68296.559999999983</v>
      </c>
      <c r="N18" s="306">
        <f>M18/M21</f>
        <v>0.2887871697956198</v>
      </c>
      <c r="O18" s="304">
        <f>M18/G18</f>
        <v>350.23876923076915</v>
      </c>
      <c r="P18" s="316">
        <f>'Effectif INSA'!P4</f>
        <v>742</v>
      </c>
      <c r="Q18" s="312">
        <f>P18*O18*0.001</f>
        <v>259.87716676923071</v>
      </c>
    </row>
    <row r="19" spans="2:23" ht="14.4">
      <c r="B19" s="283" t="s">
        <v>850</v>
      </c>
      <c r="C19" s="285">
        <f>COUNTIF($G$28:$G$1662,"3")</f>
        <v>204</v>
      </c>
      <c r="D19" s="288">
        <f t="shared" si="8"/>
        <v>0.12484700122399021</v>
      </c>
      <c r="F19" s="297" t="s">
        <v>882</v>
      </c>
      <c r="G19" s="299">
        <f>COUNTIF(C28:C1664,"Personnel administratif/technique  (BIATSS - Bibliothèque, Ingénieur(e), ITRF, Administratif(ve), Technicien(ne), Social, Santé )")</f>
        <v>236</v>
      </c>
      <c r="H19" s="300">
        <f>G19/G21</f>
        <v>0.14434250764525994</v>
      </c>
      <c r="I19" s="375">
        <f>SUMIF($C$28:$C$1662,"Personnel administratif/technique  (BIATSS - Bibliothèque, Ingénieur(e), ITRF, Administratif(ve), Technicien(ne), Social, Santé )",J28:J1662)</f>
        <v>328.75366666666622</v>
      </c>
      <c r="J19" s="292">
        <f>I19/I21</f>
        <v>0.4822873539920382</v>
      </c>
      <c r="K19" s="367">
        <v>180</v>
      </c>
      <c r="L19" s="329" t="s">
        <v>911</v>
      </c>
      <c r="M19" s="330">
        <f>I19*2*K19</f>
        <v>118351.31999999983</v>
      </c>
      <c r="N19" s="306">
        <f>M19/M21</f>
        <v>0.50044017948159758</v>
      </c>
      <c r="O19" s="304">
        <f>M19/G19</f>
        <v>501.48864406779592</v>
      </c>
      <c r="P19" s="316">
        <f>'Effectif INSA'!P5</f>
        <v>677</v>
      </c>
      <c r="Q19" s="312">
        <f>P19*O19*0.001</f>
        <v>339.50781203389784</v>
      </c>
    </row>
    <row r="20" spans="2:23" ht="14.4">
      <c r="B20" s="283" t="s">
        <v>852</v>
      </c>
      <c r="C20" s="285">
        <f>COUNTIF($G$28:$G$1662,"4")</f>
        <v>26</v>
      </c>
      <c r="D20" s="288">
        <f t="shared" si="8"/>
        <v>1.591187270501836E-2</v>
      </c>
      <c r="F20" s="297" t="s">
        <v>35</v>
      </c>
      <c r="G20" s="299">
        <f>COUNTIF(C28:C1665,"Autre")</f>
        <v>25</v>
      </c>
      <c r="H20" s="300">
        <f>G20/G21</f>
        <v>1.5290519877675841E-2</v>
      </c>
      <c r="I20" s="375">
        <f>SUMIF($C$28:$C$1662,"Autre",J28:J1662)</f>
        <v>14.831833333333329</v>
      </c>
      <c r="J20" s="292">
        <f>I20/I21</f>
        <v>2.1758557784960327E-2</v>
      </c>
      <c r="K20" s="367">
        <v>180</v>
      </c>
      <c r="L20" s="329" t="s">
        <v>911</v>
      </c>
      <c r="M20" s="330">
        <f>I20*2*K20</f>
        <v>5339.4599999999982</v>
      </c>
      <c r="N20" s="306">
        <f>M20/M21</f>
        <v>2.2577528672555691E-2</v>
      </c>
      <c r="O20" s="304">
        <f>M20/G20</f>
        <v>213.57839999999993</v>
      </c>
      <c r="P20" s="316" t="s">
        <v>897</v>
      </c>
      <c r="Q20" s="312"/>
    </row>
    <row r="21" spans="2:23" ht="14.4">
      <c r="B21" s="283" t="s">
        <v>854</v>
      </c>
      <c r="C21" s="285">
        <f>COUNTIF($G$28:$G$1662,"5")</f>
        <v>10</v>
      </c>
      <c r="D21" s="288">
        <f t="shared" si="8"/>
        <v>6.1199510403916772E-3</v>
      </c>
      <c r="F21" s="298" t="s">
        <v>874</v>
      </c>
      <c r="G21" s="298">
        <f>SUM(G13:G20)</f>
        <v>1635</v>
      </c>
      <c r="H21" s="301"/>
      <c r="I21" s="376">
        <f>SUM(J28:J1662)</f>
        <v>681.65516666666201</v>
      </c>
      <c r="J21" s="282"/>
      <c r="K21" s="302"/>
      <c r="L21" s="307"/>
      <c r="M21" s="305">
        <f>SUM(M17:M20)</f>
        <v>236494.43999999986</v>
      </c>
      <c r="N21" s="303"/>
      <c r="O21" s="291"/>
      <c r="P21" s="315" t="s">
        <v>897</v>
      </c>
      <c r="Q21" s="312" t="e">
        <f>P21*O21*0.001</f>
        <v>#VALUE!</v>
      </c>
    </row>
    <row r="22" spans="2:23" ht="14.4">
      <c r="B22" s="286" t="s">
        <v>856</v>
      </c>
      <c r="C22" s="285">
        <f>COUNTIF($G$28:$G$1662,"6")</f>
        <v>18</v>
      </c>
      <c r="D22" s="288">
        <f t="shared" si="8"/>
        <v>1.1015911872705019E-2</v>
      </c>
      <c r="G22" s="331"/>
      <c r="I22" s="331"/>
      <c r="Q22" s="332">
        <f>SUM(Q17:Q19)</f>
        <v>830.90494852323059</v>
      </c>
    </row>
    <row r="23" spans="2:23" ht="14.4">
      <c r="B23" s="283" t="s">
        <v>858</v>
      </c>
      <c r="C23" s="285">
        <f>COUNTIF($G$28:$G$1662,"7")</f>
        <v>1129</v>
      </c>
      <c r="D23" s="288">
        <f t="shared" si="8"/>
        <v>0.69094247246022034</v>
      </c>
    </row>
    <row r="24" spans="2:23">
      <c r="B24" s="289" t="s">
        <v>874</v>
      </c>
      <c r="C24" s="290">
        <f>SUM(C17:C23)</f>
        <v>1634</v>
      </c>
    </row>
    <row r="27" spans="2:23" s="287" customFormat="1" ht="27.45" customHeight="1">
      <c r="B27" s="585" t="s">
        <v>860</v>
      </c>
      <c r="C27" s="585" t="s">
        <v>861</v>
      </c>
      <c r="D27" s="585" t="s">
        <v>862</v>
      </c>
      <c r="E27" s="585" t="s">
        <v>863</v>
      </c>
      <c r="F27" s="585" t="s">
        <v>864</v>
      </c>
      <c r="G27" s="585" t="s">
        <v>865</v>
      </c>
      <c r="H27" s="585"/>
      <c r="I27" s="585" t="s">
        <v>866</v>
      </c>
      <c r="J27" s="585" t="s">
        <v>867</v>
      </c>
      <c r="K27" s="585"/>
      <c r="L27" s="585"/>
      <c r="M27" s="586" t="str">
        <f>F17</f>
        <v>Etudiant(e) (y compris doctorant(e))</v>
      </c>
      <c r="N27" s="586" t="str">
        <f>F18</f>
        <v>Enseignant(e)s-chercheur(e)s</v>
      </c>
      <c r="O27" s="586" t="str">
        <f>F19</f>
        <v>Personnel administratif/technique  (BIATSS - Bibliothèque, Ingénieur(e), ITRF, Administratif(ve), Technicien(ne), Social, Santé )</v>
      </c>
      <c r="P27" s="586" t="s">
        <v>35</v>
      </c>
      <c r="Q27" s="281"/>
      <c r="R27" s="281"/>
      <c r="S27" s="281"/>
      <c r="T27" s="281"/>
      <c r="U27" s="281"/>
      <c r="V27" s="281"/>
      <c r="W27" s="281"/>
    </row>
    <row r="28" spans="2:23">
      <c r="B28" s="587" t="s">
        <v>868</v>
      </c>
      <c r="C28" s="587" t="s">
        <v>869</v>
      </c>
      <c r="D28" s="587"/>
      <c r="E28" s="587" t="s">
        <v>870</v>
      </c>
      <c r="F28" s="587" t="str">
        <f>IF(D28="",E28,D28)</f>
        <v>Métro</v>
      </c>
      <c r="G28" s="587">
        <f>IF(F28="Métro",1,IF(F28="Tramway",1,IF(F28="Vélo'v",7,IF(F28="Marche à pied (exclusivement sur tout le trajet)",7,IF(F28="Vélo personnel (y compris vélo à assistance électrique)",7,IF(F28="Trottinette, roller, skateboard,…",7,IF(F28="Marche à pied au-delà de 5 minutes",7,IF(F28="Voiture (seul(e))",3,IF(F28="Bus",2,IF(F28="Trottinette, roller, skateboard au-delà de 5 minutes",7,IF(F28="Covoiturage (passager(ère))",4,IF(F28="Trottinette, roller, skateboard,...",7,IF(F28="Vélo’v",7,IF(F28="Train (TER,TGV,...)",6,IF(F28="Deux roues motorisées (moto, scooter, mobylette,…)",5,IF(F28="Covoiturage (conducteur(trice))",4,IF(F28="Train (TER,..)",6,0)))))))))))))))))</f>
        <v>1</v>
      </c>
      <c r="H28" s="587"/>
      <c r="I28" s="587">
        <v>40</v>
      </c>
      <c r="J28" s="587">
        <f>IF(G28=1,$C$6*($I$28*$K$6)/$J$6,IF(G28=2,$C$7*($I$28*$K$7)/$J$7,IF(G28=3,$C$8*$I$28*$K$8/$J$8,IF(G28=4,$C$9*$I$28*$K$9/$J$9,IF(G28=5,$C$10*$I$28*$K$10/$J$10,IF(G28=6,$C$11*$K$11*$I$28/$J$11,0))))))</f>
        <v>4.8833333333333326E-2</v>
      </c>
      <c r="K28" s="587"/>
      <c r="L28" s="587"/>
      <c r="M28" s="587">
        <f>IF($C28=M$27,$G28,0)</f>
        <v>1</v>
      </c>
      <c r="N28" s="587">
        <f>IF($C28=N$27,$G28,0)</f>
        <v>0</v>
      </c>
      <c r="O28" s="587">
        <f>IF($C28=O$27,$G28,0)</f>
        <v>0</v>
      </c>
      <c r="P28" s="587">
        <f>IF($C28=P$27,$G28,0)</f>
        <v>0</v>
      </c>
    </row>
    <row r="29" spans="2:23">
      <c r="B29" s="587" t="s">
        <v>868</v>
      </c>
      <c r="C29" s="587" t="s">
        <v>869</v>
      </c>
      <c r="D29" s="587"/>
      <c r="E29" s="587" t="s">
        <v>870</v>
      </c>
      <c r="F29" s="587" t="str">
        <f t="shared" ref="F29:F92" si="9">IF(D29="",E29,D29)</f>
        <v>Métro</v>
      </c>
      <c r="G29" s="587">
        <f t="shared" ref="G29:G92" si="10">IF(F29="Métro",1,IF(F29="Tramway",1,IF(F29="Vélo'v",7,IF(F29="Marche à pied (exclusivement sur tout le trajet)",7,IF(F29="Vélo personnel (y compris vélo à assistance électrique)",7,IF(F29="Trottinette, roller, skateboard,…",7,IF(F29="Marche à pied au-delà de 5 minutes",7,IF(F29="Voiture (seul(e))",3,IF(F29="Bus",2,IF(F29="Trottinette, roller, skateboard au-delà de 5 minutes",7,IF(F29="Covoiturage (passager(ère))",4,IF(F29="Trottinette, roller, skateboard,...",7,IF(F29="Vélo’v",7,IF(F29="Train (TER,TGV,...)",6,IF(F29="Deux roues motorisées (moto, scooter, mobylette,…)",5,IF(F29="Covoiturage (conducteur(trice))",4,IF(F29="Train (TER,..)",6,0)))))))))))))))))</f>
        <v>1</v>
      </c>
      <c r="H29" s="587"/>
      <c r="I29" s="587">
        <v>25</v>
      </c>
      <c r="J29" s="587">
        <f t="shared" ref="J29:J59" si="11">IF(G29=1,$C$6*($I$28*$K$6)/$J$6,IF(G29=2,$C$7*($I$28*$K$7)/$J$7,IF(G29=3,$C$8*$I$28*$K$8/$J$8,IF(G29=4,$C$9*$I$28*$K$9/$J$9,IF(G29=5,$C$10*$I$28*$K$10/$J$10,IF(G29=6,$C$11*$K$11*$I$28/$J$11,0))))))</f>
        <v>4.8833333333333326E-2</v>
      </c>
      <c r="K29" s="587"/>
      <c r="L29" s="587"/>
      <c r="M29" s="587">
        <f t="shared" ref="M29:P52" si="12">IF($C29=M$27,$G29,0)</f>
        <v>1</v>
      </c>
      <c r="N29" s="587">
        <f t="shared" si="12"/>
        <v>0</v>
      </c>
      <c r="O29" s="587">
        <f t="shared" si="12"/>
        <v>0</v>
      </c>
      <c r="P29" s="587">
        <f t="shared" si="12"/>
        <v>0</v>
      </c>
    </row>
    <row r="30" spans="2:23">
      <c r="B30" s="587" t="s">
        <v>868</v>
      </c>
      <c r="C30" s="587" t="s">
        <v>869</v>
      </c>
      <c r="D30" s="587" t="s">
        <v>871</v>
      </c>
      <c r="E30" s="587"/>
      <c r="F30" s="587" t="str">
        <f t="shared" si="9"/>
        <v>Marche à pied (exclusivement sur tout le trajet)</v>
      </c>
      <c r="G30" s="587">
        <f t="shared" si="10"/>
        <v>7</v>
      </c>
      <c r="H30" s="587"/>
      <c r="I30" s="587">
        <v>10</v>
      </c>
      <c r="J30" s="587">
        <f t="shared" si="11"/>
        <v>0</v>
      </c>
      <c r="K30" s="587"/>
      <c r="L30" s="587"/>
      <c r="M30" s="587">
        <f t="shared" si="12"/>
        <v>7</v>
      </c>
      <c r="N30" s="587">
        <f t="shared" si="12"/>
        <v>0</v>
      </c>
      <c r="O30" s="587">
        <f t="shared" si="12"/>
        <v>0</v>
      </c>
      <c r="P30" s="587">
        <f t="shared" si="12"/>
        <v>0</v>
      </c>
    </row>
    <row r="31" spans="2:23">
      <c r="B31" s="587" t="s">
        <v>868</v>
      </c>
      <c r="C31" s="587" t="s">
        <v>869</v>
      </c>
      <c r="D31" s="587" t="s">
        <v>872</v>
      </c>
      <c r="E31" s="587"/>
      <c r="F31" s="587" t="str">
        <f t="shared" si="9"/>
        <v>Vélo personnel (y compris vélo à assistance électrique)</v>
      </c>
      <c r="G31" s="587">
        <f t="shared" si="10"/>
        <v>7</v>
      </c>
      <c r="H31" s="587"/>
      <c r="I31" s="587">
        <v>10</v>
      </c>
      <c r="J31" s="587">
        <f t="shared" si="11"/>
        <v>0</v>
      </c>
      <c r="K31" s="587"/>
      <c r="L31" s="587"/>
      <c r="M31" s="587">
        <f t="shared" si="12"/>
        <v>7</v>
      </c>
      <c r="N31" s="587">
        <f t="shared" si="12"/>
        <v>0</v>
      </c>
      <c r="O31" s="587">
        <f t="shared" si="12"/>
        <v>0</v>
      </c>
      <c r="P31" s="587">
        <f t="shared" si="12"/>
        <v>0</v>
      </c>
    </row>
    <row r="32" spans="2:23">
      <c r="B32" s="587" t="s">
        <v>868</v>
      </c>
      <c r="C32" s="587" t="s">
        <v>869</v>
      </c>
      <c r="D32" s="587" t="s">
        <v>871</v>
      </c>
      <c r="E32" s="587"/>
      <c r="F32" s="587" t="str">
        <f t="shared" si="9"/>
        <v>Marche à pied (exclusivement sur tout le trajet)</v>
      </c>
      <c r="G32" s="587">
        <f t="shared" si="10"/>
        <v>7</v>
      </c>
      <c r="H32" s="587"/>
      <c r="I32" s="587">
        <v>15</v>
      </c>
      <c r="J32" s="587">
        <f t="shared" si="11"/>
        <v>0</v>
      </c>
      <c r="K32" s="587"/>
      <c r="L32" s="587"/>
      <c r="M32" s="587">
        <f t="shared" si="12"/>
        <v>7</v>
      </c>
      <c r="N32" s="587">
        <f t="shared" si="12"/>
        <v>0</v>
      </c>
      <c r="O32" s="587">
        <f t="shared" si="12"/>
        <v>0</v>
      </c>
      <c r="P32" s="587">
        <f t="shared" si="12"/>
        <v>0</v>
      </c>
    </row>
    <row r="33" spans="2:16">
      <c r="B33" s="587" t="s">
        <v>868</v>
      </c>
      <c r="C33" s="587" t="s">
        <v>869</v>
      </c>
      <c r="D33" s="587" t="s">
        <v>872</v>
      </c>
      <c r="E33" s="587"/>
      <c r="F33" s="587" t="str">
        <f t="shared" si="9"/>
        <v>Vélo personnel (y compris vélo à assistance électrique)</v>
      </c>
      <c r="G33" s="587">
        <f t="shared" si="10"/>
        <v>7</v>
      </c>
      <c r="H33" s="587"/>
      <c r="I33" s="587">
        <v>18</v>
      </c>
      <c r="J33" s="587">
        <f t="shared" si="11"/>
        <v>0</v>
      </c>
      <c r="K33" s="587"/>
      <c r="L33" s="587"/>
      <c r="M33" s="587">
        <f t="shared" si="12"/>
        <v>7</v>
      </c>
      <c r="N33" s="587">
        <f t="shared" si="12"/>
        <v>0</v>
      </c>
      <c r="O33" s="587">
        <f t="shared" si="12"/>
        <v>0</v>
      </c>
      <c r="P33" s="587">
        <f t="shared" si="12"/>
        <v>0</v>
      </c>
    </row>
    <row r="34" spans="2:16">
      <c r="B34" s="587" t="s">
        <v>868</v>
      </c>
      <c r="C34" s="587" t="s">
        <v>869</v>
      </c>
      <c r="D34" s="587" t="s">
        <v>873</v>
      </c>
      <c r="E34" s="587"/>
      <c r="F34" s="587" t="str">
        <f t="shared" si="9"/>
        <v>Tramway</v>
      </c>
      <c r="G34" s="587">
        <f t="shared" si="10"/>
        <v>1</v>
      </c>
      <c r="H34" s="587"/>
      <c r="I34" s="587">
        <v>30</v>
      </c>
      <c r="J34" s="587">
        <f t="shared" si="11"/>
        <v>4.8833333333333326E-2</v>
      </c>
      <c r="K34" s="587"/>
      <c r="L34" s="587"/>
      <c r="M34" s="587">
        <f t="shared" si="12"/>
        <v>1</v>
      </c>
      <c r="N34" s="587">
        <f t="shared" si="12"/>
        <v>0</v>
      </c>
      <c r="O34" s="587">
        <f t="shared" si="12"/>
        <v>0</v>
      </c>
      <c r="P34" s="587">
        <f t="shared" si="12"/>
        <v>0</v>
      </c>
    </row>
    <row r="35" spans="2:16">
      <c r="B35" s="587" t="s">
        <v>868</v>
      </c>
      <c r="C35" s="587" t="s">
        <v>869</v>
      </c>
      <c r="D35" s="587" t="s">
        <v>873</v>
      </c>
      <c r="E35" s="587"/>
      <c r="F35" s="587" t="str">
        <f t="shared" si="9"/>
        <v>Tramway</v>
      </c>
      <c r="G35" s="587">
        <f t="shared" si="10"/>
        <v>1</v>
      </c>
      <c r="H35" s="587"/>
      <c r="I35" s="587">
        <v>20</v>
      </c>
      <c r="J35" s="587">
        <f t="shared" si="11"/>
        <v>4.8833333333333326E-2</v>
      </c>
      <c r="K35" s="587"/>
      <c r="L35" s="587"/>
      <c r="M35" s="587">
        <f t="shared" si="12"/>
        <v>1</v>
      </c>
      <c r="N35" s="587">
        <f t="shared" si="12"/>
        <v>0</v>
      </c>
      <c r="O35" s="587">
        <f t="shared" si="12"/>
        <v>0</v>
      </c>
      <c r="P35" s="587">
        <f t="shared" si="12"/>
        <v>0</v>
      </c>
    </row>
    <row r="36" spans="2:16">
      <c r="B36" s="587" t="s">
        <v>868</v>
      </c>
      <c r="C36" s="587" t="s">
        <v>869</v>
      </c>
      <c r="D36" s="587" t="s">
        <v>873</v>
      </c>
      <c r="E36" s="587"/>
      <c r="F36" s="587" t="str">
        <f t="shared" si="9"/>
        <v>Tramway</v>
      </c>
      <c r="G36" s="587">
        <f t="shared" si="10"/>
        <v>1</v>
      </c>
      <c r="H36" s="587"/>
      <c r="I36" s="587">
        <v>50</v>
      </c>
      <c r="J36" s="587">
        <f t="shared" si="11"/>
        <v>4.8833333333333326E-2</v>
      </c>
      <c r="K36" s="587"/>
      <c r="L36" s="587"/>
      <c r="M36" s="587">
        <f t="shared" si="12"/>
        <v>1</v>
      </c>
      <c r="N36" s="587">
        <f t="shared" si="12"/>
        <v>0</v>
      </c>
      <c r="O36" s="587">
        <f t="shared" si="12"/>
        <v>0</v>
      </c>
      <c r="P36" s="587">
        <f t="shared" si="12"/>
        <v>0</v>
      </c>
    </row>
    <row r="37" spans="2:16">
      <c r="B37" s="587" t="s">
        <v>868</v>
      </c>
      <c r="C37" s="587" t="s">
        <v>869</v>
      </c>
      <c r="D37" s="587" t="s">
        <v>873</v>
      </c>
      <c r="E37" s="587"/>
      <c r="F37" s="587" t="str">
        <f t="shared" si="9"/>
        <v>Tramway</v>
      </c>
      <c r="G37" s="587">
        <f t="shared" si="10"/>
        <v>1</v>
      </c>
      <c r="H37" s="587"/>
      <c r="I37" s="587">
        <v>15</v>
      </c>
      <c r="J37" s="587">
        <f t="shared" si="11"/>
        <v>4.8833333333333326E-2</v>
      </c>
      <c r="K37" s="587"/>
      <c r="L37" s="587"/>
      <c r="M37" s="587">
        <f t="shared" si="12"/>
        <v>1</v>
      </c>
      <c r="N37" s="587">
        <f t="shared" si="12"/>
        <v>0</v>
      </c>
      <c r="O37" s="587">
        <f t="shared" si="12"/>
        <v>0</v>
      </c>
      <c r="P37" s="587">
        <f t="shared" si="12"/>
        <v>0</v>
      </c>
    </row>
    <row r="38" spans="2:16">
      <c r="B38" s="587" t="s">
        <v>868</v>
      </c>
      <c r="C38" s="587" t="s">
        <v>869</v>
      </c>
      <c r="D38" s="587" t="s">
        <v>872</v>
      </c>
      <c r="E38" s="587"/>
      <c r="F38" s="587" t="str">
        <f t="shared" si="9"/>
        <v>Vélo personnel (y compris vélo à assistance électrique)</v>
      </c>
      <c r="G38" s="587">
        <f t="shared" si="10"/>
        <v>7</v>
      </c>
      <c r="H38" s="587"/>
      <c r="I38" s="587">
        <v>10</v>
      </c>
      <c r="J38" s="587">
        <f t="shared" si="11"/>
        <v>0</v>
      </c>
      <c r="K38" s="587"/>
      <c r="L38" s="587"/>
      <c r="M38" s="587">
        <f t="shared" si="12"/>
        <v>7</v>
      </c>
      <c r="N38" s="587">
        <f t="shared" si="12"/>
        <v>0</v>
      </c>
      <c r="O38" s="587">
        <f t="shared" si="12"/>
        <v>0</v>
      </c>
      <c r="P38" s="587">
        <f t="shared" si="12"/>
        <v>0</v>
      </c>
    </row>
    <row r="39" spans="2:16">
      <c r="B39" s="587" t="s">
        <v>868</v>
      </c>
      <c r="C39" s="587" t="s">
        <v>875</v>
      </c>
      <c r="D39" s="587" t="s">
        <v>873</v>
      </c>
      <c r="E39" s="587"/>
      <c r="F39" s="587" t="str">
        <f t="shared" si="9"/>
        <v>Tramway</v>
      </c>
      <c r="G39" s="587">
        <f t="shared" si="10"/>
        <v>1</v>
      </c>
      <c r="H39" s="587"/>
      <c r="I39" s="587">
        <v>5</v>
      </c>
      <c r="J39" s="587">
        <f t="shared" si="11"/>
        <v>4.8833333333333326E-2</v>
      </c>
      <c r="K39" s="587"/>
      <c r="L39" s="587"/>
      <c r="M39" s="587">
        <f t="shared" si="12"/>
        <v>0</v>
      </c>
      <c r="N39" s="587">
        <f t="shared" si="12"/>
        <v>1</v>
      </c>
      <c r="O39" s="587">
        <f t="shared" si="12"/>
        <v>0</v>
      </c>
      <c r="P39" s="587">
        <f t="shared" si="12"/>
        <v>0</v>
      </c>
    </row>
    <row r="40" spans="2:16">
      <c r="B40" s="587" t="s">
        <v>868</v>
      </c>
      <c r="C40" s="587" t="s">
        <v>869</v>
      </c>
      <c r="D40" s="587" t="s">
        <v>876</v>
      </c>
      <c r="E40" s="587"/>
      <c r="F40" s="587" t="str">
        <f t="shared" si="9"/>
        <v>Trottinette, roller, skateboard,...</v>
      </c>
      <c r="G40" s="587">
        <f t="shared" si="10"/>
        <v>7</v>
      </c>
      <c r="H40" s="587"/>
      <c r="I40" s="587">
        <v>10</v>
      </c>
      <c r="J40" s="587">
        <f t="shared" si="11"/>
        <v>0</v>
      </c>
      <c r="K40" s="587"/>
      <c r="L40" s="587"/>
      <c r="M40" s="587">
        <f t="shared" si="12"/>
        <v>7</v>
      </c>
      <c r="N40" s="587">
        <f t="shared" si="12"/>
        <v>0</v>
      </c>
      <c r="O40" s="587">
        <f t="shared" si="12"/>
        <v>0</v>
      </c>
      <c r="P40" s="587">
        <f t="shared" si="12"/>
        <v>0</v>
      </c>
    </row>
    <row r="41" spans="2:16">
      <c r="B41" s="587" t="s">
        <v>868</v>
      </c>
      <c r="C41" s="587" t="s">
        <v>869</v>
      </c>
      <c r="D41" s="587"/>
      <c r="E41" s="587" t="s">
        <v>873</v>
      </c>
      <c r="F41" s="587" t="str">
        <f t="shared" si="9"/>
        <v>Tramway</v>
      </c>
      <c r="G41" s="587">
        <f t="shared" si="10"/>
        <v>1</v>
      </c>
      <c r="H41" s="587"/>
      <c r="I41" s="587">
        <v>75</v>
      </c>
      <c r="J41" s="587">
        <f t="shared" si="11"/>
        <v>4.8833333333333326E-2</v>
      </c>
      <c r="K41" s="587"/>
      <c r="L41" s="587"/>
      <c r="M41" s="587">
        <f t="shared" si="12"/>
        <v>1</v>
      </c>
      <c r="N41" s="587">
        <f t="shared" si="12"/>
        <v>0</v>
      </c>
      <c r="O41" s="587">
        <f t="shared" si="12"/>
        <v>0</v>
      </c>
      <c r="P41" s="587">
        <f t="shared" si="12"/>
        <v>0</v>
      </c>
    </row>
    <row r="42" spans="2:16">
      <c r="B42" s="587" t="s">
        <v>868</v>
      </c>
      <c r="C42" s="587" t="s">
        <v>869</v>
      </c>
      <c r="D42" s="587" t="s">
        <v>871</v>
      </c>
      <c r="E42" s="587"/>
      <c r="F42" s="587" t="str">
        <f t="shared" si="9"/>
        <v>Marche à pied (exclusivement sur tout le trajet)</v>
      </c>
      <c r="G42" s="587">
        <f t="shared" si="10"/>
        <v>7</v>
      </c>
      <c r="H42" s="587"/>
      <c r="I42" s="587">
        <v>1</v>
      </c>
      <c r="J42" s="587">
        <f t="shared" si="11"/>
        <v>0</v>
      </c>
      <c r="K42" s="587"/>
      <c r="L42" s="587"/>
      <c r="M42" s="587">
        <f t="shared" si="12"/>
        <v>7</v>
      </c>
      <c r="N42" s="587">
        <f t="shared" si="12"/>
        <v>0</v>
      </c>
      <c r="O42" s="587">
        <f t="shared" si="12"/>
        <v>0</v>
      </c>
      <c r="P42" s="587">
        <f t="shared" si="12"/>
        <v>0</v>
      </c>
    </row>
    <row r="43" spans="2:16">
      <c r="B43" s="587" t="s">
        <v>868</v>
      </c>
      <c r="C43" s="587" t="s">
        <v>869</v>
      </c>
      <c r="D43" s="587" t="s">
        <v>871</v>
      </c>
      <c r="E43" s="587"/>
      <c r="F43" s="587" t="str">
        <f t="shared" si="9"/>
        <v>Marche à pied (exclusivement sur tout le trajet)</v>
      </c>
      <c r="G43" s="587">
        <f t="shared" si="10"/>
        <v>7</v>
      </c>
      <c r="H43" s="587"/>
      <c r="I43" s="587">
        <v>10</v>
      </c>
      <c r="J43" s="587">
        <f t="shared" si="11"/>
        <v>0</v>
      </c>
      <c r="K43" s="587"/>
      <c r="L43" s="587"/>
      <c r="M43" s="587">
        <f t="shared" si="12"/>
        <v>7</v>
      </c>
      <c r="N43" s="587">
        <f t="shared" si="12"/>
        <v>0</v>
      </c>
      <c r="O43" s="587">
        <f t="shared" si="12"/>
        <v>0</v>
      </c>
      <c r="P43" s="587">
        <f t="shared" si="12"/>
        <v>0</v>
      </c>
    </row>
    <row r="44" spans="2:16">
      <c r="B44" s="587" t="s">
        <v>868</v>
      </c>
      <c r="C44" s="587" t="s">
        <v>869</v>
      </c>
      <c r="D44" s="587" t="s">
        <v>877</v>
      </c>
      <c r="E44" s="587"/>
      <c r="F44" s="587" t="str">
        <f t="shared" si="9"/>
        <v>Vélo’v</v>
      </c>
      <c r="G44" s="587">
        <f t="shared" si="10"/>
        <v>7</v>
      </c>
      <c r="H44" s="587"/>
      <c r="I44" s="587">
        <v>15</v>
      </c>
      <c r="J44" s="587">
        <f t="shared" si="11"/>
        <v>0</v>
      </c>
      <c r="K44" s="587"/>
      <c r="L44" s="587"/>
      <c r="M44" s="587">
        <f t="shared" si="12"/>
        <v>7</v>
      </c>
      <c r="N44" s="587">
        <f t="shared" si="12"/>
        <v>0</v>
      </c>
      <c r="O44" s="587">
        <f t="shared" si="12"/>
        <v>0</v>
      </c>
      <c r="P44" s="587">
        <f t="shared" si="12"/>
        <v>0</v>
      </c>
    </row>
    <row r="45" spans="2:16">
      <c r="B45" s="587" t="s">
        <v>868</v>
      </c>
      <c r="C45" s="587" t="s">
        <v>869</v>
      </c>
      <c r="D45" s="587" t="s">
        <v>872</v>
      </c>
      <c r="E45" s="587"/>
      <c r="F45" s="587" t="str">
        <f t="shared" si="9"/>
        <v>Vélo personnel (y compris vélo à assistance électrique)</v>
      </c>
      <c r="G45" s="587">
        <f t="shared" si="10"/>
        <v>7</v>
      </c>
      <c r="H45" s="587"/>
      <c r="I45" s="587">
        <v>10</v>
      </c>
      <c r="J45" s="587">
        <f t="shared" si="11"/>
        <v>0</v>
      </c>
      <c r="K45" s="587"/>
      <c r="L45" s="587"/>
      <c r="M45" s="587">
        <f t="shared" si="12"/>
        <v>7</v>
      </c>
      <c r="N45" s="587">
        <f t="shared" si="12"/>
        <v>0</v>
      </c>
      <c r="O45" s="587">
        <f t="shared" si="12"/>
        <v>0</v>
      </c>
      <c r="P45" s="587">
        <f t="shared" si="12"/>
        <v>0</v>
      </c>
    </row>
    <row r="46" spans="2:16">
      <c r="B46" s="587" t="s">
        <v>868</v>
      </c>
      <c r="C46" s="587" t="s">
        <v>869</v>
      </c>
      <c r="D46" s="587" t="s">
        <v>876</v>
      </c>
      <c r="E46" s="587"/>
      <c r="F46" s="587" t="str">
        <f t="shared" si="9"/>
        <v>Trottinette, roller, skateboard,...</v>
      </c>
      <c r="G46" s="587">
        <f t="shared" si="10"/>
        <v>7</v>
      </c>
      <c r="H46" s="587"/>
      <c r="I46" s="587">
        <v>7</v>
      </c>
      <c r="J46" s="587">
        <f t="shared" si="11"/>
        <v>0</v>
      </c>
      <c r="K46" s="587"/>
      <c r="L46" s="587"/>
      <c r="M46" s="587">
        <f t="shared" si="12"/>
        <v>7</v>
      </c>
      <c r="N46" s="587">
        <f t="shared" si="12"/>
        <v>0</v>
      </c>
      <c r="O46" s="587">
        <f t="shared" si="12"/>
        <v>0</v>
      </c>
      <c r="P46" s="587">
        <f t="shared" si="12"/>
        <v>0</v>
      </c>
    </row>
    <row r="47" spans="2:16">
      <c r="B47" s="587" t="s">
        <v>868</v>
      </c>
      <c r="C47" s="587" t="s">
        <v>869</v>
      </c>
      <c r="D47" s="587" t="s">
        <v>871</v>
      </c>
      <c r="E47" s="587"/>
      <c r="F47" s="587" t="str">
        <f t="shared" si="9"/>
        <v>Marche à pied (exclusivement sur tout le trajet)</v>
      </c>
      <c r="G47" s="587">
        <f t="shared" si="10"/>
        <v>7</v>
      </c>
      <c r="H47" s="587"/>
      <c r="I47" s="587">
        <v>2</v>
      </c>
      <c r="J47" s="587">
        <f t="shared" si="11"/>
        <v>0</v>
      </c>
      <c r="K47" s="587"/>
      <c r="L47" s="587"/>
      <c r="M47" s="587">
        <f t="shared" si="12"/>
        <v>7</v>
      </c>
      <c r="N47" s="587">
        <f t="shared" si="12"/>
        <v>0</v>
      </c>
      <c r="O47" s="587">
        <f t="shared" si="12"/>
        <v>0</v>
      </c>
      <c r="P47" s="587">
        <f t="shared" si="12"/>
        <v>0</v>
      </c>
    </row>
    <row r="48" spans="2:16">
      <c r="B48" s="587" t="s">
        <v>868</v>
      </c>
      <c r="C48" s="587" t="s">
        <v>869</v>
      </c>
      <c r="D48" s="587" t="s">
        <v>871</v>
      </c>
      <c r="E48" s="587"/>
      <c r="F48" s="587" t="str">
        <f t="shared" si="9"/>
        <v>Marche à pied (exclusivement sur tout le trajet)</v>
      </c>
      <c r="G48" s="587">
        <f t="shared" si="10"/>
        <v>7</v>
      </c>
      <c r="H48" s="587"/>
      <c r="I48" s="587">
        <v>5</v>
      </c>
      <c r="J48" s="587">
        <f t="shared" si="11"/>
        <v>0</v>
      </c>
      <c r="K48" s="587"/>
      <c r="L48" s="587"/>
      <c r="M48" s="587">
        <f t="shared" si="12"/>
        <v>7</v>
      </c>
      <c r="N48" s="587">
        <f t="shared" si="12"/>
        <v>0</v>
      </c>
      <c r="O48" s="587">
        <f t="shared" si="12"/>
        <v>0</v>
      </c>
      <c r="P48" s="587">
        <f t="shared" si="12"/>
        <v>0</v>
      </c>
    </row>
    <row r="49" spans="2:16">
      <c r="B49" s="587" t="s">
        <v>868</v>
      </c>
      <c r="C49" s="587" t="s">
        <v>869</v>
      </c>
      <c r="D49" s="587" t="s">
        <v>871</v>
      </c>
      <c r="E49" s="587"/>
      <c r="F49" s="587" t="str">
        <f t="shared" si="9"/>
        <v>Marche à pied (exclusivement sur tout le trajet)</v>
      </c>
      <c r="G49" s="587">
        <f t="shared" si="10"/>
        <v>7</v>
      </c>
      <c r="H49" s="587"/>
      <c r="I49" s="587">
        <v>2</v>
      </c>
      <c r="J49" s="587">
        <f t="shared" si="11"/>
        <v>0</v>
      </c>
      <c r="K49" s="587"/>
      <c r="L49" s="587"/>
      <c r="M49" s="587">
        <f t="shared" si="12"/>
        <v>7</v>
      </c>
      <c r="N49" s="587">
        <f t="shared" si="12"/>
        <v>0</v>
      </c>
      <c r="O49" s="587">
        <f t="shared" si="12"/>
        <v>0</v>
      </c>
      <c r="P49" s="587">
        <f t="shared" si="12"/>
        <v>0</v>
      </c>
    </row>
    <row r="50" spans="2:16">
      <c r="B50" s="587" t="s">
        <v>868</v>
      </c>
      <c r="C50" s="587" t="s">
        <v>869</v>
      </c>
      <c r="D50" s="587" t="s">
        <v>871</v>
      </c>
      <c r="E50" s="587"/>
      <c r="F50" s="587" t="str">
        <f t="shared" si="9"/>
        <v>Marche à pied (exclusivement sur tout le trajet)</v>
      </c>
      <c r="G50" s="587">
        <f t="shared" si="10"/>
        <v>7</v>
      </c>
      <c r="H50" s="587"/>
      <c r="I50" s="587">
        <v>3</v>
      </c>
      <c r="J50" s="587">
        <f t="shared" si="11"/>
        <v>0</v>
      </c>
      <c r="K50" s="587"/>
      <c r="L50" s="587"/>
      <c r="M50" s="587">
        <f t="shared" si="12"/>
        <v>7</v>
      </c>
      <c r="N50" s="587">
        <f t="shared" si="12"/>
        <v>0</v>
      </c>
      <c r="O50" s="587">
        <f t="shared" si="12"/>
        <v>0</v>
      </c>
      <c r="P50" s="587">
        <f t="shared" si="12"/>
        <v>0</v>
      </c>
    </row>
    <row r="51" spans="2:16">
      <c r="B51" s="587" t="s">
        <v>868</v>
      </c>
      <c r="C51" s="587" t="s">
        <v>869</v>
      </c>
      <c r="D51" s="587" t="s">
        <v>871</v>
      </c>
      <c r="E51" s="587"/>
      <c r="F51" s="587" t="str">
        <f t="shared" si="9"/>
        <v>Marche à pied (exclusivement sur tout le trajet)</v>
      </c>
      <c r="G51" s="587">
        <f t="shared" si="10"/>
        <v>7</v>
      </c>
      <c r="H51" s="587"/>
      <c r="I51" s="587">
        <v>7</v>
      </c>
      <c r="J51" s="587">
        <f t="shared" si="11"/>
        <v>0</v>
      </c>
      <c r="K51" s="587"/>
      <c r="L51" s="587"/>
      <c r="M51" s="587">
        <f>IF($C51=M$27,$G51,0)</f>
        <v>7</v>
      </c>
      <c r="N51" s="587">
        <f>IF($C51=N$27,$G51,0)</f>
        <v>0</v>
      </c>
      <c r="O51" s="587">
        <f>IF($C51=O$27,$G51,0)</f>
        <v>0</v>
      </c>
      <c r="P51" s="587">
        <f t="shared" si="12"/>
        <v>0</v>
      </c>
    </row>
    <row r="52" spans="2:16">
      <c r="B52" s="587" t="s">
        <v>868</v>
      </c>
      <c r="C52" s="587" t="s">
        <v>869</v>
      </c>
      <c r="D52" s="587"/>
      <c r="E52" s="587" t="s">
        <v>878</v>
      </c>
      <c r="F52" s="587" t="str">
        <f t="shared" si="9"/>
        <v>Marche à pied au-delà de 5 minutes</v>
      </c>
      <c r="G52" s="587">
        <f t="shared" si="10"/>
        <v>7</v>
      </c>
      <c r="H52" s="587"/>
      <c r="I52" s="587">
        <v>25</v>
      </c>
      <c r="J52" s="587">
        <f t="shared" si="11"/>
        <v>0</v>
      </c>
      <c r="K52" s="587"/>
      <c r="L52" s="587"/>
      <c r="M52" s="587">
        <f t="shared" si="12"/>
        <v>7</v>
      </c>
      <c r="N52" s="587">
        <f t="shared" si="12"/>
        <v>0</v>
      </c>
      <c r="O52" s="587">
        <f t="shared" si="12"/>
        <v>0</v>
      </c>
      <c r="P52" s="587">
        <f t="shared" si="12"/>
        <v>0</v>
      </c>
    </row>
    <row r="53" spans="2:16">
      <c r="B53" s="587" t="s">
        <v>868</v>
      </c>
      <c r="C53" s="587" t="s">
        <v>869</v>
      </c>
      <c r="D53" s="587" t="s">
        <v>871</v>
      </c>
      <c r="E53" s="587"/>
      <c r="F53" s="587" t="str">
        <f t="shared" si="9"/>
        <v>Marche à pied (exclusivement sur tout le trajet)</v>
      </c>
      <c r="G53" s="587">
        <f t="shared" si="10"/>
        <v>7</v>
      </c>
      <c r="H53" s="587"/>
      <c r="I53" s="587">
        <v>10</v>
      </c>
      <c r="J53" s="587">
        <f t="shared" si="11"/>
        <v>0</v>
      </c>
      <c r="K53" s="587"/>
      <c r="L53" s="587"/>
      <c r="M53" s="587">
        <f t="shared" ref="M53:P116" si="13">IF($C53=M$27,$G53,0)</f>
        <v>7</v>
      </c>
      <c r="N53" s="587">
        <f t="shared" si="13"/>
        <v>0</v>
      </c>
      <c r="O53" s="587">
        <f t="shared" si="13"/>
        <v>0</v>
      </c>
      <c r="P53" s="587">
        <f t="shared" si="13"/>
        <v>0</v>
      </c>
    </row>
    <row r="54" spans="2:16">
      <c r="B54" s="587" t="s">
        <v>868</v>
      </c>
      <c r="C54" s="587" t="s">
        <v>869</v>
      </c>
      <c r="D54" s="587" t="s">
        <v>872</v>
      </c>
      <c r="E54" s="587"/>
      <c r="F54" s="587" t="str">
        <f t="shared" si="9"/>
        <v>Vélo personnel (y compris vélo à assistance électrique)</v>
      </c>
      <c r="G54" s="587">
        <f t="shared" si="10"/>
        <v>7</v>
      </c>
      <c r="H54" s="587"/>
      <c r="I54" s="587">
        <v>20</v>
      </c>
      <c r="J54" s="587">
        <f t="shared" si="11"/>
        <v>0</v>
      </c>
      <c r="K54" s="587"/>
      <c r="L54" s="587"/>
      <c r="M54" s="587">
        <f t="shared" si="13"/>
        <v>7</v>
      </c>
      <c r="N54" s="587">
        <f t="shared" si="13"/>
        <v>0</v>
      </c>
      <c r="O54" s="587">
        <f t="shared" si="13"/>
        <v>0</v>
      </c>
      <c r="P54" s="587">
        <f t="shared" si="13"/>
        <v>0</v>
      </c>
    </row>
    <row r="55" spans="2:16">
      <c r="B55" s="587" t="s">
        <v>868</v>
      </c>
      <c r="C55" s="587" t="s">
        <v>869</v>
      </c>
      <c r="D55" s="587"/>
      <c r="E55" s="587" t="s">
        <v>848</v>
      </c>
      <c r="F55" s="587" t="str">
        <f t="shared" si="9"/>
        <v>Bus</v>
      </c>
      <c r="G55" s="587">
        <f t="shared" si="10"/>
        <v>2</v>
      </c>
      <c r="H55" s="587"/>
      <c r="I55" s="587">
        <v>20</v>
      </c>
      <c r="J55" s="587">
        <f t="shared" si="11"/>
        <v>1.29</v>
      </c>
      <c r="K55" s="587"/>
      <c r="L55" s="587"/>
      <c r="M55" s="587">
        <f t="shared" si="13"/>
        <v>2</v>
      </c>
      <c r="N55" s="587">
        <f t="shared" si="13"/>
        <v>0</v>
      </c>
      <c r="O55" s="587">
        <f t="shared" si="13"/>
        <v>0</v>
      </c>
      <c r="P55" s="587">
        <f t="shared" si="13"/>
        <v>0</v>
      </c>
    </row>
    <row r="56" spans="2:16">
      <c r="B56" s="587" t="s">
        <v>868</v>
      </c>
      <c r="C56" s="587" t="s">
        <v>869</v>
      </c>
      <c r="D56" s="587" t="s">
        <v>879</v>
      </c>
      <c r="E56" s="587"/>
      <c r="F56" s="587" t="str">
        <f t="shared" si="9"/>
        <v>Voiture (seul(e))</v>
      </c>
      <c r="G56" s="587">
        <f t="shared" si="10"/>
        <v>3</v>
      </c>
      <c r="H56" s="587"/>
      <c r="I56" s="587">
        <v>40</v>
      </c>
      <c r="J56" s="587">
        <f t="shared" si="11"/>
        <v>2.7600000000000002</v>
      </c>
      <c r="K56" s="587"/>
      <c r="L56" s="587"/>
      <c r="M56" s="587">
        <f t="shared" si="13"/>
        <v>3</v>
      </c>
      <c r="N56" s="587">
        <f t="shared" si="13"/>
        <v>0</v>
      </c>
      <c r="O56" s="587">
        <f t="shared" si="13"/>
        <v>0</v>
      </c>
      <c r="P56" s="587">
        <f t="shared" si="13"/>
        <v>0</v>
      </c>
    </row>
    <row r="57" spans="2:16">
      <c r="B57" s="587" t="s">
        <v>868</v>
      </c>
      <c r="C57" s="587" t="s">
        <v>869</v>
      </c>
      <c r="D57" s="587" t="s">
        <v>872</v>
      </c>
      <c r="E57" s="587"/>
      <c r="F57" s="587" t="str">
        <f t="shared" si="9"/>
        <v>Vélo personnel (y compris vélo à assistance électrique)</v>
      </c>
      <c r="G57" s="587">
        <f t="shared" si="10"/>
        <v>7</v>
      </c>
      <c r="H57" s="587"/>
      <c r="I57" s="587">
        <v>8</v>
      </c>
      <c r="J57" s="587">
        <f t="shared" si="11"/>
        <v>0</v>
      </c>
      <c r="K57" s="587"/>
      <c r="L57" s="587"/>
      <c r="M57" s="587">
        <f t="shared" si="13"/>
        <v>7</v>
      </c>
      <c r="N57" s="587">
        <f t="shared" si="13"/>
        <v>0</v>
      </c>
      <c r="O57" s="587">
        <f t="shared" si="13"/>
        <v>0</v>
      </c>
      <c r="P57" s="587">
        <f t="shared" si="13"/>
        <v>0</v>
      </c>
    </row>
    <row r="58" spans="2:16">
      <c r="B58" s="587" t="s">
        <v>868</v>
      </c>
      <c r="C58" s="587" t="s">
        <v>869</v>
      </c>
      <c r="D58" s="587"/>
      <c r="E58" s="587" t="s">
        <v>878</v>
      </c>
      <c r="F58" s="587" t="str">
        <f t="shared" si="9"/>
        <v>Marche à pied au-delà de 5 minutes</v>
      </c>
      <c r="G58" s="587">
        <f t="shared" si="10"/>
        <v>7</v>
      </c>
      <c r="H58" s="587"/>
      <c r="I58" s="587">
        <v>15</v>
      </c>
      <c r="J58" s="587">
        <f t="shared" si="11"/>
        <v>0</v>
      </c>
      <c r="K58" s="587"/>
      <c r="L58" s="587"/>
      <c r="M58" s="587">
        <f t="shared" si="13"/>
        <v>7</v>
      </c>
      <c r="N58" s="587">
        <f t="shared" si="13"/>
        <v>0</v>
      </c>
      <c r="O58" s="587">
        <f t="shared" si="13"/>
        <v>0</v>
      </c>
      <c r="P58" s="587">
        <f t="shared" si="13"/>
        <v>0</v>
      </c>
    </row>
    <row r="59" spans="2:16">
      <c r="B59" s="587" t="s">
        <v>868</v>
      </c>
      <c r="C59" s="587" t="s">
        <v>869</v>
      </c>
      <c r="D59" s="587" t="s">
        <v>880</v>
      </c>
      <c r="E59" s="587"/>
      <c r="F59" s="587" t="str">
        <f t="shared" si="9"/>
        <v>Train (TER,TGV,...)</v>
      </c>
      <c r="G59" s="587">
        <f t="shared" si="10"/>
        <v>6</v>
      </c>
      <c r="H59" s="587"/>
      <c r="I59" s="587">
        <v>240</v>
      </c>
      <c r="J59" s="587">
        <f t="shared" si="11"/>
        <v>0.34600000000000003</v>
      </c>
      <c r="K59" s="587"/>
      <c r="L59" s="587"/>
      <c r="M59" s="587">
        <f t="shared" si="13"/>
        <v>6</v>
      </c>
      <c r="N59" s="587">
        <f t="shared" si="13"/>
        <v>0</v>
      </c>
      <c r="O59" s="587">
        <f t="shared" si="13"/>
        <v>0</v>
      </c>
      <c r="P59" s="587">
        <f t="shared" si="13"/>
        <v>0</v>
      </c>
    </row>
    <row r="60" spans="2:16">
      <c r="B60" s="587" t="s">
        <v>868</v>
      </c>
      <c r="C60" s="587" t="s">
        <v>869</v>
      </c>
      <c r="D60" s="587" t="s">
        <v>879</v>
      </c>
      <c r="E60" s="587"/>
      <c r="F60" s="587" t="str">
        <f t="shared" si="9"/>
        <v>Voiture (seul(e))</v>
      </c>
      <c r="G60" s="587">
        <f t="shared" si="10"/>
        <v>3</v>
      </c>
      <c r="H60" s="587"/>
      <c r="I60" s="587">
        <v>35</v>
      </c>
      <c r="J60" s="587">
        <f t="shared" ref="J60:J91" si="14">IF(G60=1,$C$6*($I$28*$K$6)/$J$6,IF(G60=2,$C$7*($I$28*$K$7)/$J$7,IF(G60=3,$C$8*$I$28*$K$8/$J$8,IF(G60=4,$C$9*$I$28*$K$9/$J$9,IF(G60=5,$C$10*$I$28*$K$10/$J$10,IF(G60=6,$C$11*$K$11*$I$28/$J$11,0))))))</f>
        <v>2.7600000000000002</v>
      </c>
      <c r="K60" s="587"/>
      <c r="L60" s="587"/>
      <c r="M60" s="587">
        <f t="shared" si="13"/>
        <v>3</v>
      </c>
      <c r="N60" s="587">
        <f t="shared" si="13"/>
        <v>0</v>
      </c>
      <c r="O60" s="587">
        <f t="shared" si="13"/>
        <v>0</v>
      </c>
      <c r="P60" s="587">
        <f t="shared" si="13"/>
        <v>0</v>
      </c>
    </row>
    <row r="61" spans="2:16">
      <c r="B61" s="587" t="s">
        <v>868</v>
      </c>
      <c r="C61" s="587" t="s">
        <v>869</v>
      </c>
      <c r="D61" s="587" t="s">
        <v>871</v>
      </c>
      <c r="E61" s="587"/>
      <c r="F61" s="587" t="str">
        <f t="shared" si="9"/>
        <v>Marche à pied (exclusivement sur tout le trajet)</v>
      </c>
      <c r="G61" s="587">
        <f t="shared" si="10"/>
        <v>7</v>
      </c>
      <c r="H61" s="587"/>
      <c r="I61" s="587">
        <v>5</v>
      </c>
      <c r="J61" s="587">
        <f t="shared" si="14"/>
        <v>0</v>
      </c>
      <c r="K61" s="587"/>
      <c r="L61" s="587"/>
      <c r="M61" s="587">
        <f t="shared" si="13"/>
        <v>7</v>
      </c>
      <c r="N61" s="587">
        <f t="shared" si="13"/>
        <v>0</v>
      </c>
      <c r="O61" s="587">
        <f t="shared" si="13"/>
        <v>0</v>
      </c>
      <c r="P61" s="587">
        <f t="shared" si="13"/>
        <v>0</v>
      </c>
    </row>
    <row r="62" spans="2:16">
      <c r="B62" s="587" t="s">
        <v>868</v>
      </c>
      <c r="C62" s="587" t="s">
        <v>869</v>
      </c>
      <c r="D62" s="587"/>
      <c r="E62" s="587" t="s">
        <v>870</v>
      </c>
      <c r="F62" s="587" t="str">
        <f t="shared" si="9"/>
        <v>Métro</v>
      </c>
      <c r="G62" s="587">
        <f t="shared" si="10"/>
        <v>1</v>
      </c>
      <c r="H62" s="587"/>
      <c r="I62" s="587">
        <v>25</v>
      </c>
      <c r="J62" s="587">
        <f t="shared" si="14"/>
        <v>4.8833333333333326E-2</v>
      </c>
      <c r="K62" s="587"/>
      <c r="L62" s="587"/>
      <c r="M62" s="587">
        <f t="shared" si="13"/>
        <v>1</v>
      </c>
      <c r="N62" s="587">
        <f t="shared" si="13"/>
        <v>0</v>
      </c>
      <c r="O62" s="587">
        <f t="shared" si="13"/>
        <v>0</v>
      </c>
      <c r="P62" s="587">
        <f t="shared" si="13"/>
        <v>0</v>
      </c>
    </row>
    <row r="63" spans="2:16">
      <c r="B63" s="587" t="s">
        <v>868</v>
      </c>
      <c r="C63" s="587" t="s">
        <v>869</v>
      </c>
      <c r="D63" s="587" t="s">
        <v>871</v>
      </c>
      <c r="E63" s="587"/>
      <c r="F63" s="587" t="str">
        <f t="shared" si="9"/>
        <v>Marche à pied (exclusivement sur tout le trajet)</v>
      </c>
      <c r="G63" s="587">
        <f t="shared" si="10"/>
        <v>7</v>
      </c>
      <c r="H63" s="587"/>
      <c r="I63" s="587">
        <v>25</v>
      </c>
      <c r="J63" s="587">
        <f t="shared" si="14"/>
        <v>0</v>
      </c>
      <c r="K63" s="587"/>
      <c r="L63" s="587"/>
      <c r="M63" s="587">
        <f t="shared" si="13"/>
        <v>7</v>
      </c>
      <c r="N63" s="587">
        <f t="shared" si="13"/>
        <v>0</v>
      </c>
      <c r="O63" s="587">
        <f t="shared" si="13"/>
        <v>0</v>
      </c>
      <c r="P63" s="587">
        <f t="shared" si="13"/>
        <v>0</v>
      </c>
    </row>
    <row r="64" spans="2:16">
      <c r="B64" s="587" t="s">
        <v>868</v>
      </c>
      <c r="C64" s="587" t="s">
        <v>869</v>
      </c>
      <c r="D64" s="587" t="s">
        <v>872</v>
      </c>
      <c r="E64" s="587"/>
      <c r="F64" s="587" t="str">
        <f t="shared" si="9"/>
        <v>Vélo personnel (y compris vélo à assistance électrique)</v>
      </c>
      <c r="G64" s="587">
        <f t="shared" si="10"/>
        <v>7</v>
      </c>
      <c r="H64" s="587"/>
      <c r="I64" s="587">
        <v>5</v>
      </c>
      <c r="J64" s="587">
        <f t="shared" si="14"/>
        <v>0</v>
      </c>
      <c r="K64" s="587"/>
      <c r="L64" s="587"/>
      <c r="M64" s="587">
        <f t="shared" si="13"/>
        <v>7</v>
      </c>
      <c r="N64" s="587">
        <f t="shared" si="13"/>
        <v>0</v>
      </c>
      <c r="O64" s="587">
        <f t="shared" si="13"/>
        <v>0</v>
      </c>
      <c r="P64" s="587">
        <f t="shared" si="13"/>
        <v>0</v>
      </c>
    </row>
    <row r="65" spans="2:16">
      <c r="B65" s="587" t="s">
        <v>868</v>
      </c>
      <c r="C65" s="587" t="s">
        <v>869</v>
      </c>
      <c r="D65" s="587" t="s">
        <v>871</v>
      </c>
      <c r="E65" s="587"/>
      <c r="F65" s="587" t="str">
        <f t="shared" si="9"/>
        <v>Marche à pied (exclusivement sur tout le trajet)</v>
      </c>
      <c r="G65" s="587">
        <f t="shared" si="10"/>
        <v>7</v>
      </c>
      <c r="H65" s="587"/>
      <c r="I65" s="587">
        <v>11</v>
      </c>
      <c r="J65" s="587">
        <f t="shared" si="14"/>
        <v>0</v>
      </c>
      <c r="K65" s="587"/>
      <c r="L65" s="587"/>
      <c r="M65" s="587">
        <f t="shared" si="13"/>
        <v>7</v>
      </c>
      <c r="N65" s="587">
        <f t="shared" si="13"/>
        <v>0</v>
      </c>
      <c r="O65" s="587">
        <f t="shared" si="13"/>
        <v>0</v>
      </c>
      <c r="P65" s="587">
        <f t="shared" si="13"/>
        <v>0</v>
      </c>
    </row>
    <row r="66" spans="2:16">
      <c r="B66" s="587" t="s">
        <v>868</v>
      </c>
      <c r="C66" s="587" t="s">
        <v>869</v>
      </c>
      <c r="D66" s="587" t="s">
        <v>871</v>
      </c>
      <c r="E66" s="587"/>
      <c r="F66" s="587" t="str">
        <f t="shared" si="9"/>
        <v>Marche à pied (exclusivement sur tout le trajet)</v>
      </c>
      <c r="G66" s="587">
        <f t="shared" si="10"/>
        <v>7</v>
      </c>
      <c r="H66" s="587"/>
      <c r="I66" s="587">
        <v>10</v>
      </c>
      <c r="J66" s="587">
        <f t="shared" si="14"/>
        <v>0</v>
      </c>
      <c r="K66" s="587"/>
      <c r="L66" s="587"/>
      <c r="M66" s="587">
        <f t="shared" si="13"/>
        <v>7</v>
      </c>
      <c r="N66" s="587">
        <f t="shared" si="13"/>
        <v>0</v>
      </c>
      <c r="O66" s="587">
        <f t="shared" si="13"/>
        <v>0</v>
      </c>
      <c r="P66" s="587">
        <f t="shared" si="13"/>
        <v>0</v>
      </c>
    </row>
    <row r="67" spans="2:16">
      <c r="B67" s="587" t="s">
        <v>868</v>
      </c>
      <c r="C67" s="587" t="s">
        <v>869</v>
      </c>
      <c r="D67" s="587"/>
      <c r="E67" s="587" t="s">
        <v>878</v>
      </c>
      <c r="F67" s="587" t="str">
        <f t="shared" si="9"/>
        <v>Marche à pied au-delà de 5 minutes</v>
      </c>
      <c r="G67" s="587">
        <f t="shared" si="10"/>
        <v>7</v>
      </c>
      <c r="H67" s="587"/>
      <c r="I67" s="587">
        <v>12</v>
      </c>
      <c r="J67" s="587">
        <f t="shared" si="14"/>
        <v>0</v>
      </c>
      <c r="K67" s="587"/>
      <c r="L67" s="587"/>
      <c r="M67" s="587">
        <f t="shared" si="13"/>
        <v>7</v>
      </c>
      <c r="N67" s="587">
        <f t="shared" si="13"/>
        <v>0</v>
      </c>
      <c r="O67" s="587">
        <f t="shared" si="13"/>
        <v>0</v>
      </c>
      <c r="P67" s="587">
        <f t="shared" si="13"/>
        <v>0</v>
      </c>
    </row>
    <row r="68" spans="2:16">
      <c r="B68" s="587" t="s">
        <v>868</v>
      </c>
      <c r="C68" s="587" t="s">
        <v>869</v>
      </c>
      <c r="D68" s="587" t="s">
        <v>871</v>
      </c>
      <c r="E68" s="587"/>
      <c r="F68" s="587" t="str">
        <f t="shared" si="9"/>
        <v>Marche à pied (exclusivement sur tout le trajet)</v>
      </c>
      <c r="G68" s="587">
        <f t="shared" si="10"/>
        <v>7</v>
      </c>
      <c r="H68" s="587"/>
      <c r="I68" s="587">
        <v>10</v>
      </c>
      <c r="J68" s="587">
        <f t="shared" si="14"/>
        <v>0</v>
      </c>
      <c r="K68" s="587"/>
      <c r="L68" s="587"/>
      <c r="M68" s="587">
        <f t="shared" si="13"/>
        <v>7</v>
      </c>
      <c r="N68" s="587">
        <f t="shared" si="13"/>
        <v>0</v>
      </c>
      <c r="O68" s="587">
        <f t="shared" si="13"/>
        <v>0</v>
      </c>
      <c r="P68" s="587">
        <f t="shared" si="13"/>
        <v>0</v>
      </c>
    </row>
    <row r="69" spans="2:16">
      <c r="B69" s="587" t="s">
        <v>868</v>
      </c>
      <c r="C69" s="587" t="s">
        <v>869</v>
      </c>
      <c r="D69" s="587" t="s">
        <v>871</v>
      </c>
      <c r="E69" s="587"/>
      <c r="F69" s="587" t="str">
        <f t="shared" si="9"/>
        <v>Marche à pied (exclusivement sur tout le trajet)</v>
      </c>
      <c r="G69" s="587">
        <f t="shared" si="10"/>
        <v>7</v>
      </c>
      <c r="H69" s="587"/>
      <c r="I69" s="587">
        <v>2</v>
      </c>
      <c r="J69" s="587">
        <f t="shared" si="14"/>
        <v>0</v>
      </c>
      <c r="K69" s="587"/>
      <c r="L69" s="587"/>
      <c r="M69" s="587">
        <f t="shared" si="13"/>
        <v>7</v>
      </c>
      <c r="N69" s="587">
        <f t="shared" si="13"/>
        <v>0</v>
      </c>
      <c r="O69" s="587">
        <f t="shared" si="13"/>
        <v>0</v>
      </c>
      <c r="P69" s="587">
        <f t="shared" si="13"/>
        <v>0</v>
      </c>
    </row>
    <row r="70" spans="2:16">
      <c r="B70" s="587" t="s">
        <v>868</v>
      </c>
      <c r="C70" s="587" t="s">
        <v>869</v>
      </c>
      <c r="D70" s="587"/>
      <c r="E70" s="587" t="s">
        <v>870</v>
      </c>
      <c r="F70" s="587" t="str">
        <f t="shared" si="9"/>
        <v>Métro</v>
      </c>
      <c r="G70" s="587">
        <f t="shared" si="10"/>
        <v>1</v>
      </c>
      <c r="H70" s="587"/>
      <c r="I70" s="587">
        <v>30</v>
      </c>
      <c r="J70" s="587">
        <f t="shared" si="14"/>
        <v>4.8833333333333326E-2</v>
      </c>
      <c r="K70" s="587"/>
      <c r="L70" s="587"/>
      <c r="M70" s="587">
        <f t="shared" si="13"/>
        <v>1</v>
      </c>
      <c r="N70" s="587">
        <f t="shared" si="13"/>
        <v>0</v>
      </c>
      <c r="O70" s="587">
        <f t="shared" si="13"/>
        <v>0</v>
      </c>
      <c r="P70" s="587">
        <f t="shared" si="13"/>
        <v>0</v>
      </c>
    </row>
    <row r="71" spans="2:16">
      <c r="B71" s="587" t="s">
        <v>868</v>
      </c>
      <c r="C71" s="587" t="s">
        <v>869</v>
      </c>
      <c r="D71" s="587" t="s">
        <v>872</v>
      </c>
      <c r="E71" s="587"/>
      <c r="F71" s="587" t="str">
        <f t="shared" si="9"/>
        <v>Vélo personnel (y compris vélo à assistance électrique)</v>
      </c>
      <c r="G71" s="587">
        <f t="shared" si="10"/>
        <v>7</v>
      </c>
      <c r="H71" s="587"/>
      <c r="I71" s="587">
        <v>25</v>
      </c>
      <c r="J71" s="587">
        <f t="shared" si="14"/>
        <v>0</v>
      </c>
      <c r="K71" s="587"/>
      <c r="L71" s="587"/>
      <c r="M71" s="587">
        <f t="shared" si="13"/>
        <v>7</v>
      </c>
      <c r="N71" s="587">
        <f t="shared" si="13"/>
        <v>0</v>
      </c>
      <c r="O71" s="587">
        <f t="shared" si="13"/>
        <v>0</v>
      </c>
      <c r="P71" s="587">
        <f t="shared" si="13"/>
        <v>0</v>
      </c>
    </row>
    <row r="72" spans="2:16">
      <c r="B72" s="587" t="s">
        <v>868</v>
      </c>
      <c r="C72" s="587" t="s">
        <v>869</v>
      </c>
      <c r="D72" s="587" t="s">
        <v>871</v>
      </c>
      <c r="E72" s="587"/>
      <c r="F72" s="587" t="str">
        <f t="shared" si="9"/>
        <v>Marche à pied (exclusivement sur tout le trajet)</v>
      </c>
      <c r="G72" s="587">
        <f t="shared" si="10"/>
        <v>7</v>
      </c>
      <c r="H72" s="587"/>
      <c r="I72" s="587">
        <v>15</v>
      </c>
      <c r="J72" s="587">
        <f t="shared" si="14"/>
        <v>0</v>
      </c>
      <c r="K72" s="587"/>
      <c r="L72" s="587"/>
      <c r="M72" s="587">
        <f t="shared" si="13"/>
        <v>7</v>
      </c>
      <c r="N72" s="587">
        <f t="shared" si="13"/>
        <v>0</v>
      </c>
      <c r="O72" s="587">
        <f t="shared" si="13"/>
        <v>0</v>
      </c>
      <c r="P72" s="587">
        <f t="shared" si="13"/>
        <v>0</v>
      </c>
    </row>
    <row r="73" spans="2:16">
      <c r="B73" s="587" t="s">
        <v>868</v>
      </c>
      <c r="C73" s="587" t="s">
        <v>869</v>
      </c>
      <c r="D73" s="587" t="s">
        <v>871</v>
      </c>
      <c r="E73" s="587"/>
      <c r="F73" s="587" t="str">
        <f t="shared" si="9"/>
        <v>Marche à pied (exclusivement sur tout le trajet)</v>
      </c>
      <c r="G73" s="587">
        <f t="shared" si="10"/>
        <v>7</v>
      </c>
      <c r="H73" s="587"/>
      <c r="I73" s="587">
        <v>2</v>
      </c>
      <c r="J73" s="587">
        <f t="shared" si="14"/>
        <v>0</v>
      </c>
      <c r="K73" s="587"/>
      <c r="L73" s="587"/>
      <c r="M73" s="587">
        <f t="shared" si="13"/>
        <v>7</v>
      </c>
      <c r="N73" s="587">
        <f t="shared" si="13"/>
        <v>0</v>
      </c>
      <c r="O73" s="587">
        <f t="shared" si="13"/>
        <v>0</v>
      </c>
      <c r="P73" s="587">
        <f t="shared" si="13"/>
        <v>0</v>
      </c>
    </row>
    <row r="74" spans="2:16">
      <c r="B74" s="587" t="s">
        <v>868</v>
      </c>
      <c r="C74" s="587" t="s">
        <v>869</v>
      </c>
      <c r="D74" s="587" t="s">
        <v>871</v>
      </c>
      <c r="E74" s="587"/>
      <c r="F74" s="587" t="str">
        <f t="shared" si="9"/>
        <v>Marche à pied (exclusivement sur tout le trajet)</v>
      </c>
      <c r="G74" s="587">
        <f t="shared" si="10"/>
        <v>7</v>
      </c>
      <c r="H74" s="587"/>
      <c r="I74" s="587">
        <v>8</v>
      </c>
      <c r="J74" s="587">
        <f t="shared" si="14"/>
        <v>0</v>
      </c>
      <c r="K74" s="587"/>
      <c r="L74" s="587"/>
      <c r="M74" s="587">
        <f t="shared" si="13"/>
        <v>7</v>
      </c>
      <c r="N74" s="587">
        <f t="shared" si="13"/>
        <v>0</v>
      </c>
      <c r="O74" s="587">
        <f t="shared" si="13"/>
        <v>0</v>
      </c>
      <c r="P74" s="587">
        <f t="shared" si="13"/>
        <v>0</v>
      </c>
    </row>
    <row r="75" spans="2:16">
      <c r="B75" s="587" t="s">
        <v>868</v>
      </c>
      <c r="C75" s="587" t="s">
        <v>869</v>
      </c>
      <c r="D75" s="587" t="s">
        <v>871</v>
      </c>
      <c r="E75" s="587"/>
      <c r="F75" s="587" t="str">
        <f t="shared" si="9"/>
        <v>Marche à pied (exclusivement sur tout le trajet)</v>
      </c>
      <c r="G75" s="587">
        <f t="shared" si="10"/>
        <v>7</v>
      </c>
      <c r="H75" s="587"/>
      <c r="I75" s="587">
        <v>7</v>
      </c>
      <c r="J75" s="587">
        <f t="shared" si="14"/>
        <v>0</v>
      </c>
      <c r="K75" s="587"/>
      <c r="L75" s="587"/>
      <c r="M75" s="587">
        <f t="shared" si="13"/>
        <v>7</v>
      </c>
      <c r="N75" s="587">
        <f t="shared" si="13"/>
        <v>0</v>
      </c>
      <c r="O75" s="587">
        <f t="shared" si="13"/>
        <v>0</v>
      </c>
      <c r="P75" s="587">
        <f t="shared" si="13"/>
        <v>0</v>
      </c>
    </row>
    <row r="76" spans="2:16">
      <c r="B76" s="587" t="s">
        <v>868</v>
      </c>
      <c r="C76" s="587" t="s">
        <v>869</v>
      </c>
      <c r="D76" s="587" t="s">
        <v>872</v>
      </c>
      <c r="E76" s="587"/>
      <c r="F76" s="587" t="str">
        <f t="shared" si="9"/>
        <v>Vélo personnel (y compris vélo à assistance électrique)</v>
      </c>
      <c r="G76" s="587">
        <f t="shared" si="10"/>
        <v>7</v>
      </c>
      <c r="H76" s="587"/>
      <c r="I76" s="587">
        <v>10</v>
      </c>
      <c r="J76" s="587">
        <f t="shared" si="14"/>
        <v>0</v>
      </c>
      <c r="K76" s="587"/>
      <c r="L76" s="587"/>
      <c r="M76" s="587">
        <f t="shared" si="13"/>
        <v>7</v>
      </c>
      <c r="N76" s="587">
        <f t="shared" si="13"/>
        <v>0</v>
      </c>
      <c r="O76" s="587">
        <f t="shared" si="13"/>
        <v>0</v>
      </c>
      <c r="P76" s="587">
        <f t="shared" si="13"/>
        <v>0</v>
      </c>
    </row>
    <row r="77" spans="2:16">
      <c r="B77" s="587" t="s">
        <v>868</v>
      </c>
      <c r="C77" s="587" t="s">
        <v>869</v>
      </c>
      <c r="D77" s="587" t="s">
        <v>871</v>
      </c>
      <c r="E77" s="587"/>
      <c r="F77" s="587" t="str">
        <f t="shared" si="9"/>
        <v>Marche à pied (exclusivement sur tout le trajet)</v>
      </c>
      <c r="G77" s="587">
        <f t="shared" si="10"/>
        <v>7</v>
      </c>
      <c r="H77" s="587"/>
      <c r="I77" s="587">
        <v>3</v>
      </c>
      <c r="J77" s="587">
        <f t="shared" si="14"/>
        <v>0</v>
      </c>
      <c r="K77" s="587"/>
      <c r="L77" s="587"/>
      <c r="M77" s="587">
        <f t="shared" si="13"/>
        <v>7</v>
      </c>
      <c r="N77" s="587">
        <f t="shared" si="13"/>
        <v>0</v>
      </c>
      <c r="O77" s="587">
        <f t="shared" si="13"/>
        <v>0</v>
      </c>
      <c r="P77" s="587">
        <f t="shared" si="13"/>
        <v>0</v>
      </c>
    </row>
    <row r="78" spans="2:16">
      <c r="B78" s="587" t="s">
        <v>868</v>
      </c>
      <c r="C78" s="587" t="s">
        <v>869</v>
      </c>
      <c r="D78" s="587" t="s">
        <v>871</v>
      </c>
      <c r="E78" s="587"/>
      <c r="F78" s="587" t="str">
        <f t="shared" si="9"/>
        <v>Marche à pied (exclusivement sur tout le trajet)</v>
      </c>
      <c r="G78" s="587">
        <f t="shared" si="10"/>
        <v>7</v>
      </c>
      <c r="H78" s="587"/>
      <c r="I78" s="587">
        <v>10</v>
      </c>
      <c r="J78" s="587">
        <f t="shared" si="14"/>
        <v>0</v>
      </c>
      <c r="K78" s="587"/>
      <c r="L78" s="587"/>
      <c r="M78" s="587">
        <f t="shared" si="13"/>
        <v>7</v>
      </c>
      <c r="N78" s="587">
        <f t="shared" si="13"/>
        <v>0</v>
      </c>
      <c r="O78" s="587">
        <f t="shared" si="13"/>
        <v>0</v>
      </c>
      <c r="P78" s="587">
        <f t="shared" si="13"/>
        <v>0</v>
      </c>
    </row>
    <row r="79" spans="2:16">
      <c r="B79" s="587" t="s">
        <v>868</v>
      </c>
      <c r="C79" s="587" t="s">
        <v>869</v>
      </c>
      <c r="D79" s="587"/>
      <c r="E79" s="587" t="s">
        <v>881</v>
      </c>
      <c r="F79" s="587" t="str">
        <f t="shared" si="9"/>
        <v>Trottinette, roller, skateboard au-delà de 5 minutes</v>
      </c>
      <c r="G79" s="587">
        <f t="shared" si="10"/>
        <v>7</v>
      </c>
      <c r="H79" s="587"/>
      <c r="I79" s="587">
        <v>10</v>
      </c>
      <c r="J79" s="587">
        <f t="shared" si="14"/>
        <v>0</v>
      </c>
      <c r="K79" s="587"/>
      <c r="L79" s="587"/>
      <c r="M79" s="587">
        <f t="shared" si="13"/>
        <v>7</v>
      </c>
      <c r="N79" s="587">
        <f t="shared" si="13"/>
        <v>0</v>
      </c>
      <c r="O79" s="587">
        <f t="shared" si="13"/>
        <v>0</v>
      </c>
      <c r="P79" s="587">
        <f t="shared" si="13"/>
        <v>0</v>
      </c>
    </row>
    <row r="80" spans="2:16">
      <c r="B80" s="587" t="s">
        <v>868</v>
      </c>
      <c r="C80" s="587" t="s">
        <v>882</v>
      </c>
      <c r="D80" s="587"/>
      <c r="E80" s="587" t="s">
        <v>878</v>
      </c>
      <c r="F80" s="587" t="str">
        <f t="shared" si="9"/>
        <v>Marche à pied au-delà de 5 minutes</v>
      </c>
      <c r="G80" s="587">
        <f t="shared" si="10"/>
        <v>7</v>
      </c>
      <c r="H80" s="587"/>
      <c r="I80" s="587">
        <v>30</v>
      </c>
      <c r="J80" s="587">
        <f t="shared" si="14"/>
        <v>0</v>
      </c>
      <c r="K80" s="587"/>
      <c r="L80" s="587"/>
      <c r="M80" s="587">
        <f t="shared" si="13"/>
        <v>0</v>
      </c>
      <c r="N80" s="587">
        <f t="shared" si="13"/>
        <v>0</v>
      </c>
      <c r="O80" s="587">
        <f t="shared" si="13"/>
        <v>7</v>
      </c>
      <c r="P80" s="587">
        <f t="shared" si="13"/>
        <v>0</v>
      </c>
    </row>
    <row r="81" spans="2:16">
      <c r="B81" s="587" t="s">
        <v>868</v>
      </c>
      <c r="C81" s="587" t="s">
        <v>869</v>
      </c>
      <c r="D81" s="587" t="s">
        <v>871</v>
      </c>
      <c r="E81" s="587"/>
      <c r="F81" s="587" t="str">
        <f t="shared" si="9"/>
        <v>Marche à pied (exclusivement sur tout le trajet)</v>
      </c>
      <c r="G81" s="587">
        <f t="shared" si="10"/>
        <v>7</v>
      </c>
      <c r="H81" s="587"/>
      <c r="I81" s="587">
        <v>5</v>
      </c>
      <c r="J81" s="587">
        <f t="shared" si="14"/>
        <v>0</v>
      </c>
      <c r="K81" s="587"/>
      <c r="L81" s="587"/>
      <c r="M81" s="587">
        <f t="shared" si="13"/>
        <v>7</v>
      </c>
      <c r="N81" s="587">
        <f t="shared" si="13"/>
        <v>0</v>
      </c>
      <c r="O81" s="587">
        <f t="shared" si="13"/>
        <v>0</v>
      </c>
      <c r="P81" s="587">
        <f t="shared" si="13"/>
        <v>0</v>
      </c>
    </row>
    <row r="82" spans="2:16">
      <c r="B82" s="587" t="s">
        <v>868</v>
      </c>
      <c r="C82" s="587" t="s">
        <v>875</v>
      </c>
      <c r="D82" s="587"/>
      <c r="E82" s="587" t="s">
        <v>872</v>
      </c>
      <c r="F82" s="587" t="str">
        <f t="shared" si="9"/>
        <v>Vélo personnel (y compris vélo à assistance électrique)</v>
      </c>
      <c r="G82" s="587">
        <f t="shared" si="10"/>
        <v>7</v>
      </c>
      <c r="H82" s="587"/>
      <c r="I82" s="587">
        <v>90</v>
      </c>
      <c r="J82" s="587">
        <f t="shared" si="14"/>
        <v>0</v>
      </c>
      <c r="K82" s="587"/>
      <c r="L82" s="587"/>
      <c r="M82" s="587">
        <f t="shared" si="13"/>
        <v>0</v>
      </c>
      <c r="N82" s="587">
        <f t="shared" si="13"/>
        <v>7</v>
      </c>
      <c r="O82" s="587">
        <f t="shared" si="13"/>
        <v>0</v>
      </c>
      <c r="P82" s="587">
        <f t="shared" si="13"/>
        <v>0</v>
      </c>
    </row>
    <row r="83" spans="2:16">
      <c r="B83" s="587" t="s">
        <v>868</v>
      </c>
      <c r="C83" s="587" t="s">
        <v>869</v>
      </c>
      <c r="D83" s="587" t="s">
        <v>872</v>
      </c>
      <c r="E83" s="587"/>
      <c r="F83" s="587" t="str">
        <f t="shared" si="9"/>
        <v>Vélo personnel (y compris vélo à assistance électrique)</v>
      </c>
      <c r="G83" s="587">
        <f t="shared" si="10"/>
        <v>7</v>
      </c>
      <c r="H83" s="587"/>
      <c r="I83" s="587">
        <v>10</v>
      </c>
      <c r="J83" s="587">
        <f t="shared" si="14"/>
        <v>0</v>
      </c>
      <c r="K83" s="587"/>
      <c r="L83" s="587"/>
      <c r="M83" s="587">
        <f t="shared" si="13"/>
        <v>7</v>
      </c>
      <c r="N83" s="587">
        <f t="shared" si="13"/>
        <v>0</v>
      </c>
      <c r="O83" s="587">
        <f t="shared" si="13"/>
        <v>0</v>
      </c>
      <c r="P83" s="587">
        <f t="shared" si="13"/>
        <v>0</v>
      </c>
    </row>
    <row r="84" spans="2:16">
      <c r="B84" s="587" t="s">
        <v>868</v>
      </c>
      <c r="C84" s="587" t="s">
        <v>869</v>
      </c>
      <c r="D84" s="587"/>
      <c r="E84" s="587" t="s">
        <v>878</v>
      </c>
      <c r="F84" s="587" t="str">
        <f t="shared" si="9"/>
        <v>Marche à pied au-delà de 5 minutes</v>
      </c>
      <c r="G84" s="587">
        <f t="shared" si="10"/>
        <v>7</v>
      </c>
      <c r="H84" s="587"/>
      <c r="I84" s="587">
        <v>3</v>
      </c>
      <c r="J84" s="587">
        <f t="shared" si="14"/>
        <v>0</v>
      </c>
      <c r="K84" s="587"/>
      <c r="L84" s="587"/>
      <c r="M84" s="587">
        <f t="shared" si="13"/>
        <v>7</v>
      </c>
      <c r="N84" s="587">
        <f t="shared" si="13"/>
        <v>0</v>
      </c>
      <c r="O84" s="587">
        <f t="shared" si="13"/>
        <v>0</v>
      </c>
      <c r="P84" s="587">
        <f t="shared" si="13"/>
        <v>0</v>
      </c>
    </row>
    <row r="85" spans="2:16">
      <c r="B85" s="587" t="s">
        <v>868</v>
      </c>
      <c r="C85" s="587" t="s">
        <v>869</v>
      </c>
      <c r="D85" s="587" t="s">
        <v>871</v>
      </c>
      <c r="E85" s="587"/>
      <c r="F85" s="587" t="str">
        <f t="shared" si="9"/>
        <v>Marche à pied (exclusivement sur tout le trajet)</v>
      </c>
      <c r="G85" s="587">
        <f t="shared" si="10"/>
        <v>7</v>
      </c>
      <c r="H85" s="587"/>
      <c r="I85" s="587">
        <v>2</v>
      </c>
      <c r="J85" s="587">
        <f t="shared" si="14"/>
        <v>0</v>
      </c>
      <c r="K85" s="587"/>
      <c r="L85" s="587"/>
      <c r="M85" s="587">
        <f t="shared" si="13"/>
        <v>7</v>
      </c>
      <c r="N85" s="587">
        <f t="shared" si="13"/>
        <v>0</v>
      </c>
      <c r="O85" s="587">
        <f t="shared" si="13"/>
        <v>0</v>
      </c>
      <c r="P85" s="587">
        <f t="shared" si="13"/>
        <v>0</v>
      </c>
    </row>
    <row r="86" spans="2:16">
      <c r="B86" s="587" t="s">
        <v>868</v>
      </c>
      <c r="C86" s="587" t="s">
        <v>869</v>
      </c>
      <c r="D86" s="587" t="s">
        <v>873</v>
      </c>
      <c r="E86" s="587"/>
      <c r="F86" s="587" t="str">
        <f t="shared" si="9"/>
        <v>Tramway</v>
      </c>
      <c r="G86" s="587">
        <f t="shared" si="10"/>
        <v>1</v>
      </c>
      <c r="H86" s="587"/>
      <c r="I86" s="587">
        <v>30</v>
      </c>
      <c r="J86" s="587">
        <f t="shared" si="14"/>
        <v>4.8833333333333326E-2</v>
      </c>
      <c r="K86" s="587"/>
      <c r="L86" s="587"/>
      <c r="M86" s="587">
        <f t="shared" si="13"/>
        <v>1</v>
      </c>
      <c r="N86" s="587">
        <f t="shared" si="13"/>
        <v>0</v>
      </c>
      <c r="O86" s="587">
        <f t="shared" si="13"/>
        <v>0</v>
      </c>
      <c r="P86" s="587">
        <f t="shared" si="13"/>
        <v>0</v>
      </c>
    </row>
    <row r="87" spans="2:16">
      <c r="B87" s="587" t="s">
        <v>868</v>
      </c>
      <c r="C87" s="587" t="s">
        <v>875</v>
      </c>
      <c r="D87" s="587"/>
      <c r="E87" s="587" t="s">
        <v>870</v>
      </c>
      <c r="F87" s="587" t="str">
        <f t="shared" si="9"/>
        <v>Métro</v>
      </c>
      <c r="G87" s="587">
        <f t="shared" si="10"/>
        <v>1</v>
      </c>
      <c r="H87" s="587"/>
      <c r="I87" s="587">
        <v>25</v>
      </c>
      <c r="J87" s="587">
        <f t="shared" si="14"/>
        <v>4.8833333333333326E-2</v>
      </c>
      <c r="K87" s="587"/>
      <c r="L87" s="587"/>
      <c r="M87" s="587">
        <f t="shared" si="13"/>
        <v>0</v>
      </c>
      <c r="N87" s="587">
        <f t="shared" si="13"/>
        <v>1</v>
      </c>
      <c r="O87" s="587">
        <f t="shared" si="13"/>
        <v>0</v>
      </c>
      <c r="P87" s="587">
        <f t="shared" si="13"/>
        <v>0</v>
      </c>
    </row>
    <row r="88" spans="2:16">
      <c r="B88" s="587" t="s">
        <v>868</v>
      </c>
      <c r="C88" s="587" t="s">
        <v>869</v>
      </c>
      <c r="D88" s="587" t="s">
        <v>871</v>
      </c>
      <c r="E88" s="587"/>
      <c r="F88" s="587" t="str">
        <f t="shared" si="9"/>
        <v>Marche à pied (exclusivement sur tout le trajet)</v>
      </c>
      <c r="G88" s="587">
        <f t="shared" si="10"/>
        <v>7</v>
      </c>
      <c r="H88" s="587"/>
      <c r="I88" s="587">
        <v>2</v>
      </c>
      <c r="J88" s="587">
        <f t="shared" si="14"/>
        <v>0</v>
      </c>
      <c r="K88" s="587"/>
      <c r="L88" s="587"/>
      <c r="M88" s="587">
        <f t="shared" si="13"/>
        <v>7</v>
      </c>
      <c r="N88" s="587">
        <f t="shared" si="13"/>
        <v>0</v>
      </c>
      <c r="O88" s="587">
        <f t="shared" si="13"/>
        <v>0</v>
      </c>
      <c r="P88" s="587">
        <f t="shared" si="13"/>
        <v>0</v>
      </c>
    </row>
    <row r="89" spans="2:16">
      <c r="B89" s="587" t="s">
        <v>868</v>
      </c>
      <c r="C89" s="587" t="s">
        <v>875</v>
      </c>
      <c r="D89" s="587" t="s">
        <v>883</v>
      </c>
      <c r="E89" s="587"/>
      <c r="F89" s="587" t="str">
        <f t="shared" si="9"/>
        <v>Covoiturage (passager(ère))</v>
      </c>
      <c r="G89" s="587">
        <f t="shared" si="10"/>
        <v>4</v>
      </c>
      <c r="H89" s="587"/>
      <c r="I89" s="587">
        <v>30</v>
      </c>
      <c r="J89" s="587">
        <f t="shared" si="14"/>
        <v>0.69000000000000006</v>
      </c>
      <c r="K89" s="587"/>
      <c r="L89" s="587"/>
      <c r="M89" s="587">
        <f t="shared" si="13"/>
        <v>0</v>
      </c>
      <c r="N89" s="587">
        <f t="shared" si="13"/>
        <v>4</v>
      </c>
      <c r="O89" s="587">
        <f t="shared" si="13"/>
        <v>0</v>
      </c>
      <c r="P89" s="587">
        <f t="shared" si="13"/>
        <v>0</v>
      </c>
    </row>
    <row r="90" spans="2:16">
      <c r="B90" s="587" t="s">
        <v>868</v>
      </c>
      <c r="C90" s="587" t="s">
        <v>869</v>
      </c>
      <c r="D90" s="587" t="s">
        <v>871</v>
      </c>
      <c r="E90" s="587"/>
      <c r="F90" s="587" t="str">
        <f t="shared" si="9"/>
        <v>Marche à pied (exclusivement sur tout le trajet)</v>
      </c>
      <c r="G90" s="587">
        <f t="shared" si="10"/>
        <v>7</v>
      </c>
      <c r="H90" s="587"/>
      <c r="I90" s="587">
        <v>10</v>
      </c>
      <c r="J90" s="587">
        <f t="shared" si="14"/>
        <v>0</v>
      </c>
      <c r="K90" s="587"/>
      <c r="L90" s="587"/>
      <c r="M90" s="587">
        <f t="shared" si="13"/>
        <v>7</v>
      </c>
      <c r="N90" s="587">
        <f t="shared" si="13"/>
        <v>0</v>
      </c>
      <c r="O90" s="587">
        <f t="shared" si="13"/>
        <v>0</v>
      </c>
      <c r="P90" s="587">
        <f t="shared" si="13"/>
        <v>0</v>
      </c>
    </row>
    <row r="91" spans="2:16">
      <c r="B91" s="587" t="s">
        <v>868</v>
      </c>
      <c r="C91" s="587" t="s">
        <v>875</v>
      </c>
      <c r="D91" s="587"/>
      <c r="E91" s="587" t="s">
        <v>878</v>
      </c>
      <c r="F91" s="587" t="str">
        <f t="shared" si="9"/>
        <v>Marche à pied au-delà de 5 minutes</v>
      </c>
      <c r="G91" s="587">
        <f t="shared" si="10"/>
        <v>7</v>
      </c>
      <c r="H91" s="587"/>
      <c r="I91" s="587">
        <v>60</v>
      </c>
      <c r="J91" s="587">
        <f t="shared" si="14"/>
        <v>0</v>
      </c>
      <c r="K91" s="587"/>
      <c r="L91" s="587"/>
      <c r="M91" s="587">
        <f t="shared" si="13"/>
        <v>0</v>
      </c>
      <c r="N91" s="587">
        <f t="shared" si="13"/>
        <v>7</v>
      </c>
      <c r="O91" s="587">
        <f t="shared" si="13"/>
        <v>0</v>
      </c>
      <c r="P91" s="587">
        <f t="shared" si="13"/>
        <v>0</v>
      </c>
    </row>
    <row r="92" spans="2:16">
      <c r="B92" s="587" t="s">
        <v>868</v>
      </c>
      <c r="C92" s="587" t="s">
        <v>882</v>
      </c>
      <c r="D92" s="587"/>
      <c r="E92" s="587" t="s">
        <v>878</v>
      </c>
      <c r="F92" s="587" t="str">
        <f t="shared" si="9"/>
        <v>Marche à pied au-delà de 5 minutes</v>
      </c>
      <c r="G92" s="587">
        <f t="shared" si="10"/>
        <v>7</v>
      </c>
      <c r="H92" s="587"/>
      <c r="I92" s="587">
        <v>60</v>
      </c>
      <c r="J92" s="587">
        <f t="shared" ref="J92:J123" si="15">IF(G92=1,$C$6*($I$28*$K$6)/$J$6,IF(G92=2,$C$7*($I$28*$K$7)/$J$7,IF(G92=3,$C$8*$I$28*$K$8/$J$8,IF(G92=4,$C$9*$I$28*$K$9/$J$9,IF(G92=5,$C$10*$I$28*$K$10/$J$10,IF(G92=6,$C$11*$K$11*$I$28/$J$11,0))))))</f>
        <v>0</v>
      </c>
      <c r="K92" s="587"/>
      <c r="L92" s="587"/>
      <c r="M92" s="587">
        <f t="shared" si="13"/>
        <v>0</v>
      </c>
      <c r="N92" s="587">
        <f t="shared" si="13"/>
        <v>0</v>
      </c>
      <c r="O92" s="587">
        <f t="shared" si="13"/>
        <v>7</v>
      </c>
      <c r="P92" s="587">
        <f t="shared" si="13"/>
        <v>0</v>
      </c>
    </row>
    <row r="93" spans="2:16">
      <c r="B93" s="587" t="s">
        <v>868</v>
      </c>
      <c r="C93" s="587" t="s">
        <v>869</v>
      </c>
      <c r="D93" s="587" t="s">
        <v>871</v>
      </c>
      <c r="E93" s="587"/>
      <c r="F93" s="587" t="str">
        <f t="shared" ref="F93:F156" si="16">IF(D93="",E93,D93)</f>
        <v>Marche à pied (exclusivement sur tout le trajet)</v>
      </c>
      <c r="G93" s="587">
        <f t="shared" ref="G93:G156" si="17">IF(F93="Métro",1,IF(F93="Tramway",1,IF(F93="Vélo'v",7,IF(F93="Marche à pied (exclusivement sur tout le trajet)",7,IF(F93="Vélo personnel (y compris vélo à assistance électrique)",7,IF(F93="Trottinette, roller, skateboard,…",7,IF(F93="Marche à pied au-delà de 5 minutes",7,IF(F93="Voiture (seul(e))",3,IF(F93="Bus",2,IF(F93="Trottinette, roller, skateboard au-delà de 5 minutes",7,IF(F93="Covoiturage (passager(ère))",4,IF(F93="Trottinette, roller, skateboard,...",7,IF(F93="Vélo’v",7,IF(F93="Train (TER,TGV,...)",6,IF(F93="Deux roues motorisées (moto, scooter, mobylette,…)",5,IF(F93="Covoiturage (conducteur(trice))",4,IF(F93="Train (TER,..)",6,0)))))))))))))))))</f>
        <v>7</v>
      </c>
      <c r="H93" s="587"/>
      <c r="I93" s="587">
        <v>10</v>
      </c>
      <c r="J93" s="587">
        <f t="shared" si="15"/>
        <v>0</v>
      </c>
      <c r="K93" s="587"/>
      <c r="L93" s="587"/>
      <c r="M93" s="587">
        <f t="shared" si="13"/>
        <v>7</v>
      </c>
      <c r="N93" s="587">
        <f t="shared" si="13"/>
        <v>0</v>
      </c>
      <c r="O93" s="587">
        <f t="shared" si="13"/>
        <v>0</v>
      </c>
      <c r="P93" s="587">
        <f t="shared" si="13"/>
        <v>0</v>
      </c>
    </row>
    <row r="94" spans="2:16">
      <c r="B94" s="587" t="s">
        <v>868</v>
      </c>
      <c r="C94" s="587" t="s">
        <v>869</v>
      </c>
      <c r="D94" s="587" t="s">
        <v>871</v>
      </c>
      <c r="E94" s="587"/>
      <c r="F94" s="587" t="str">
        <f t="shared" si="16"/>
        <v>Marche à pied (exclusivement sur tout le trajet)</v>
      </c>
      <c r="G94" s="587">
        <f t="shared" si="17"/>
        <v>7</v>
      </c>
      <c r="H94" s="587"/>
      <c r="I94" s="587">
        <v>3</v>
      </c>
      <c r="J94" s="587">
        <f t="shared" si="15"/>
        <v>0</v>
      </c>
      <c r="K94" s="587"/>
      <c r="L94" s="587"/>
      <c r="M94" s="587">
        <f t="shared" si="13"/>
        <v>7</v>
      </c>
      <c r="N94" s="587">
        <f t="shared" si="13"/>
        <v>0</v>
      </c>
      <c r="O94" s="587">
        <f t="shared" si="13"/>
        <v>0</v>
      </c>
      <c r="P94" s="587">
        <f t="shared" si="13"/>
        <v>0</v>
      </c>
    </row>
    <row r="95" spans="2:16">
      <c r="B95" s="587" t="s">
        <v>868</v>
      </c>
      <c r="C95" s="587" t="s">
        <v>882</v>
      </c>
      <c r="D95" s="587" t="s">
        <v>873</v>
      </c>
      <c r="E95" s="587"/>
      <c r="F95" s="587" t="str">
        <f t="shared" si="16"/>
        <v>Tramway</v>
      </c>
      <c r="G95" s="587">
        <f t="shared" si="17"/>
        <v>1</v>
      </c>
      <c r="H95" s="587"/>
      <c r="I95" s="587">
        <v>35</v>
      </c>
      <c r="J95" s="587">
        <f t="shared" si="15"/>
        <v>4.8833333333333326E-2</v>
      </c>
      <c r="K95" s="587"/>
      <c r="L95" s="587"/>
      <c r="M95" s="587">
        <f t="shared" si="13"/>
        <v>0</v>
      </c>
      <c r="N95" s="587">
        <f t="shared" si="13"/>
        <v>0</v>
      </c>
      <c r="O95" s="587">
        <f t="shared" si="13"/>
        <v>1</v>
      </c>
      <c r="P95" s="587">
        <f t="shared" si="13"/>
        <v>0</v>
      </c>
    </row>
    <row r="96" spans="2:16">
      <c r="B96" s="587" t="s">
        <v>868</v>
      </c>
      <c r="C96" s="587" t="s">
        <v>869</v>
      </c>
      <c r="D96" s="587" t="s">
        <v>871</v>
      </c>
      <c r="E96" s="587"/>
      <c r="F96" s="587" t="str">
        <f t="shared" si="16"/>
        <v>Marche à pied (exclusivement sur tout le trajet)</v>
      </c>
      <c r="G96" s="587">
        <f t="shared" si="17"/>
        <v>7</v>
      </c>
      <c r="H96" s="587"/>
      <c r="I96" s="587">
        <v>3</v>
      </c>
      <c r="J96" s="587">
        <f t="shared" si="15"/>
        <v>0</v>
      </c>
      <c r="K96" s="587"/>
      <c r="L96" s="587"/>
      <c r="M96" s="587">
        <f t="shared" si="13"/>
        <v>7</v>
      </c>
      <c r="N96" s="587">
        <f t="shared" si="13"/>
        <v>0</v>
      </c>
      <c r="O96" s="587">
        <f t="shared" si="13"/>
        <v>0</v>
      </c>
      <c r="P96" s="587">
        <f t="shared" si="13"/>
        <v>0</v>
      </c>
    </row>
    <row r="97" spans="2:16">
      <c r="B97" s="587" t="s">
        <v>868</v>
      </c>
      <c r="C97" s="587" t="s">
        <v>869</v>
      </c>
      <c r="D97" s="587" t="s">
        <v>871</v>
      </c>
      <c r="E97" s="587"/>
      <c r="F97" s="587" t="str">
        <f t="shared" si="16"/>
        <v>Marche à pied (exclusivement sur tout le trajet)</v>
      </c>
      <c r="G97" s="587">
        <f t="shared" si="17"/>
        <v>7</v>
      </c>
      <c r="H97" s="587"/>
      <c r="I97" s="587">
        <v>15</v>
      </c>
      <c r="J97" s="587">
        <f t="shared" si="15"/>
        <v>0</v>
      </c>
      <c r="K97" s="587"/>
      <c r="L97" s="587"/>
      <c r="M97" s="587">
        <f t="shared" si="13"/>
        <v>7</v>
      </c>
      <c r="N97" s="587">
        <f t="shared" si="13"/>
        <v>0</v>
      </c>
      <c r="O97" s="587">
        <f t="shared" si="13"/>
        <v>0</v>
      </c>
      <c r="P97" s="587">
        <f t="shared" si="13"/>
        <v>0</v>
      </c>
    </row>
    <row r="98" spans="2:16">
      <c r="B98" s="587" t="s">
        <v>868</v>
      </c>
      <c r="C98" s="587" t="s">
        <v>869</v>
      </c>
      <c r="D98" s="587" t="s">
        <v>871</v>
      </c>
      <c r="E98" s="587"/>
      <c r="F98" s="587" t="str">
        <f t="shared" si="16"/>
        <v>Marche à pied (exclusivement sur tout le trajet)</v>
      </c>
      <c r="G98" s="587">
        <f t="shared" si="17"/>
        <v>7</v>
      </c>
      <c r="H98" s="587"/>
      <c r="I98" s="587">
        <v>20</v>
      </c>
      <c r="J98" s="587">
        <f t="shared" si="15"/>
        <v>0</v>
      </c>
      <c r="K98" s="587"/>
      <c r="L98" s="587"/>
      <c r="M98" s="587">
        <f t="shared" si="13"/>
        <v>7</v>
      </c>
      <c r="N98" s="587">
        <f t="shared" si="13"/>
        <v>0</v>
      </c>
      <c r="O98" s="587">
        <f t="shared" si="13"/>
        <v>0</v>
      </c>
      <c r="P98" s="587">
        <f t="shared" si="13"/>
        <v>0</v>
      </c>
    </row>
    <row r="99" spans="2:16">
      <c r="B99" s="587" t="s">
        <v>868</v>
      </c>
      <c r="C99" s="587" t="s">
        <v>869</v>
      </c>
      <c r="D99" s="587" t="s">
        <v>873</v>
      </c>
      <c r="E99" s="587"/>
      <c r="F99" s="587" t="str">
        <f t="shared" si="16"/>
        <v>Tramway</v>
      </c>
      <c r="G99" s="587">
        <f t="shared" si="17"/>
        <v>1</v>
      </c>
      <c r="H99" s="587"/>
      <c r="I99" s="587">
        <v>15</v>
      </c>
      <c r="J99" s="587">
        <f t="shared" si="15"/>
        <v>4.8833333333333326E-2</v>
      </c>
      <c r="K99" s="587"/>
      <c r="L99" s="587"/>
      <c r="M99" s="587">
        <f t="shared" si="13"/>
        <v>1</v>
      </c>
      <c r="N99" s="587">
        <f t="shared" si="13"/>
        <v>0</v>
      </c>
      <c r="O99" s="587">
        <f t="shared" si="13"/>
        <v>0</v>
      </c>
      <c r="P99" s="587">
        <f t="shared" si="13"/>
        <v>0</v>
      </c>
    </row>
    <row r="100" spans="2:16">
      <c r="B100" s="587" t="s">
        <v>868</v>
      </c>
      <c r="C100" s="587" t="s">
        <v>882</v>
      </c>
      <c r="D100" s="587" t="s">
        <v>848</v>
      </c>
      <c r="E100" s="587"/>
      <c r="F100" s="587" t="str">
        <f t="shared" si="16"/>
        <v>Bus</v>
      </c>
      <c r="G100" s="587">
        <f t="shared" si="17"/>
        <v>2</v>
      </c>
      <c r="H100" s="587"/>
      <c r="I100" s="587">
        <v>25</v>
      </c>
      <c r="J100" s="587">
        <f t="shared" si="15"/>
        <v>1.29</v>
      </c>
      <c r="K100" s="587"/>
      <c r="L100" s="587"/>
      <c r="M100" s="587">
        <f t="shared" si="13"/>
        <v>0</v>
      </c>
      <c r="N100" s="587">
        <f t="shared" si="13"/>
        <v>0</v>
      </c>
      <c r="O100" s="587">
        <f t="shared" si="13"/>
        <v>2</v>
      </c>
      <c r="P100" s="587">
        <f t="shared" si="13"/>
        <v>0</v>
      </c>
    </row>
    <row r="101" spans="2:16">
      <c r="B101" s="587" t="s">
        <v>868</v>
      </c>
      <c r="C101" s="587" t="s">
        <v>35</v>
      </c>
      <c r="D101" s="587" t="s">
        <v>873</v>
      </c>
      <c r="E101" s="587"/>
      <c r="F101" s="587" t="str">
        <f t="shared" si="16"/>
        <v>Tramway</v>
      </c>
      <c r="G101" s="587">
        <f t="shared" si="17"/>
        <v>1</v>
      </c>
      <c r="H101" s="587"/>
      <c r="I101" s="587">
        <v>25</v>
      </c>
      <c r="J101" s="587">
        <f t="shared" si="15"/>
        <v>4.8833333333333326E-2</v>
      </c>
      <c r="K101" s="587"/>
      <c r="L101" s="587"/>
      <c r="M101" s="587">
        <f t="shared" si="13"/>
        <v>0</v>
      </c>
      <c r="N101" s="587">
        <f t="shared" si="13"/>
        <v>0</v>
      </c>
      <c r="O101" s="587">
        <f t="shared" si="13"/>
        <v>0</v>
      </c>
      <c r="P101" s="587">
        <f t="shared" si="13"/>
        <v>1</v>
      </c>
    </row>
    <row r="102" spans="2:16">
      <c r="B102" s="587" t="s">
        <v>868</v>
      </c>
      <c r="C102" s="587" t="s">
        <v>882</v>
      </c>
      <c r="D102" s="587" t="s">
        <v>873</v>
      </c>
      <c r="E102" s="587"/>
      <c r="F102" s="587" t="str">
        <f t="shared" si="16"/>
        <v>Tramway</v>
      </c>
      <c r="G102" s="587">
        <f t="shared" si="17"/>
        <v>1</v>
      </c>
      <c r="H102" s="587"/>
      <c r="I102" s="587">
        <v>45</v>
      </c>
      <c r="J102" s="587">
        <f t="shared" si="15"/>
        <v>4.8833333333333326E-2</v>
      </c>
      <c r="K102" s="587"/>
      <c r="L102" s="587"/>
      <c r="M102" s="587">
        <f t="shared" si="13"/>
        <v>0</v>
      </c>
      <c r="N102" s="587">
        <f t="shared" si="13"/>
        <v>0</v>
      </c>
      <c r="O102" s="587">
        <f t="shared" si="13"/>
        <v>1</v>
      </c>
      <c r="P102" s="587">
        <f t="shared" si="13"/>
        <v>0</v>
      </c>
    </row>
    <row r="103" spans="2:16">
      <c r="B103" s="587" t="s">
        <v>868</v>
      </c>
      <c r="C103" s="587" t="s">
        <v>869</v>
      </c>
      <c r="D103" s="587" t="s">
        <v>871</v>
      </c>
      <c r="E103" s="587"/>
      <c r="F103" s="587" t="str">
        <f t="shared" si="16"/>
        <v>Marche à pied (exclusivement sur tout le trajet)</v>
      </c>
      <c r="G103" s="587">
        <f t="shared" si="17"/>
        <v>7</v>
      </c>
      <c r="H103" s="587"/>
      <c r="I103" s="587">
        <v>12</v>
      </c>
      <c r="J103" s="587">
        <f t="shared" si="15"/>
        <v>0</v>
      </c>
      <c r="K103" s="587"/>
      <c r="L103" s="587"/>
      <c r="M103" s="587">
        <f t="shared" si="13"/>
        <v>7</v>
      </c>
      <c r="N103" s="587">
        <f t="shared" si="13"/>
        <v>0</v>
      </c>
      <c r="O103" s="587">
        <f t="shared" si="13"/>
        <v>0</v>
      </c>
      <c r="P103" s="587">
        <f t="shared" si="13"/>
        <v>0</v>
      </c>
    </row>
    <row r="104" spans="2:16">
      <c r="B104" s="587" t="s">
        <v>868</v>
      </c>
      <c r="C104" s="587" t="s">
        <v>869</v>
      </c>
      <c r="D104" s="587" t="s">
        <v>872</v>
      </c>
      <c r="E104" s="587"/>
      <c r="F104" s="587" t="str">
        <f t="shared" si="16"/>
        <v>Vélo personnel (y compris vélo à assistance électrique)</v>
      </c>
      <c r="G104" s="587">
        <f t="shared" si="17"/>
        <v>7</v>
      </c>
      <c r="H104" s="587"/>
      <c r="I104" s="587">
        <v>15</v>
      </c>
      <c r="J104" s="587">
        <f t="shared" si="15"/>
        <v>0</v>
      </c>
      <c r="K104" s="587"/>
      <c r="L104" s="587"/>
      <c r="M104" s="587">
        <f t="shared" si="13"/>
        <v>7</v>
      </c>
      <c r="N104" s="587">
        <f t="shared" si="13"/>
        <v>0</v>
      </c>
      <c r="O104" s="587">
        <f t="shared" si="13"/>
        <v>0</v>
      </c>
      <c r="P104" s="587">
        <f t="shared" si="13"/>
        <v>0</v>
      </c>
    </row>
    <row r="105" spans="2:16">
      <c r="B105" s="587" t="s">
        <v>868</v>
      </c>
      <c r="C105" s="587" t="s">
        <v>869</v>
      </c>
      <c r="D105" s="587" t="s">
        <v>871</v>
      </c>
      <c r="E105" s="587"/>
      <c r="F105" s="587" t="str">
        <f t="shared" si="16"/>
        <v>Marche à pied (exclusivement sur tout le trajet)</v>
      </c>
      <c r="G105" s="587">
        <f t="shared" si="17"/>
        <v>7</v>
      </c>
      <c r="H105" s="587"/>
      <c r="I105" s="587">
        <v>3</v>
      </c>
      <c r="J105" s="587">
        <f t="shared" si="15"/>
        <v>0</v>
      </c>
      <c r="K105" s="587"/>
      <c r="L105" s="587"/>
      <c r="M105" s="587">
        <f t="shared" si="13"/>
        <v>7</v>
      </c>
      <c r="N105" s="587">
        <f t="shared" si="13"/>
        <v>0</v>
      </c>
      <c r="O105" s="587">
        <f t="shared" si="13"/>
        <v>0</v>
      </c>
      <c r="P105" s="587">
        <f t="shared" si="13"/>
        <v>0</v>
      </c>
    </row>
    <row r="106" spans="2:16">
      <c r="B106" s="587" t="s">
        <v>868</v>
      </c>
      <c r="C106" s="587" t="s">
        <v>875</v>
      </c>
      <c r="D106" s="587" t="s">
        <v>879</v>
      </c>
      <c r="E106" s="587"/>
      <c r="F106" s="587" t="str">
        <f t="shared" si="16"/>
        <v>Voiture (seul(e))</v>
      </c>
      <c r="G106" s="587">
        <f t="shared" si="17"/>
        <v>3</v>
      </c>
      <c r="H106" s="587"/>
      <c r="I106" s="587">
        <v>35</v>
      </c>
      <c r="J106" s="587">
        <f t="shared" si="15"/>
        <v>2.7600000000000002</v>
      </c>
      <c r="K106" s="587"/>
      <c r="L106" s="587"/>
      <c r="M106" s="587">
        <f t="shared" si="13"/>
        <v>0</v>
      </c>
      <c r="N106" s="587">
        <f t="shared" si="13"/>
        <v>3</v>
      </c>
      <c r="O106" s="587">
        <f t="shared" si="13"/>
        <v>0</v>
      </c>
      <c r="P106" s="587">
        <f t="shared" si="13"/>
        <v>0</v>
      </c>
    </row>
    <row r="107" spans="2:16">
      <c r="B107" s="587" t="s">
        <v>868</v>
      </c>
      <c r="C107" s="587" t="s">
        <v>882</v>
      </c>
      <c r="D107" s="587" t="s">
        <v>879</v>
      </c>
      <c r="E107" s="587"/>
      <c r="F107" s="587" t="str">
        <f t="shared" si="16"/>
        <v>Voiture (seul(e))</v>
      </c>
      <c r="G107" s="587">
        <f t="shared" si="17"/>
        <v>3</v>
      </c>
      <c r="H107" s="587"/>
      <c r="I107" s="587">
        <v>30</v>
      </c>
      <c r="J107" s="587">
        <f t="shared" si="15"/>
        <v>2.7600000000000002</v>
      </c>
      <c r="K107" s="587"/>
      <c r="L107" s="587"/>
      <c r="M107" s="587">
        <f t="shared" si="13"/>
        <v>0</v>
      </c>
      <c r="N107" s="587">
        <f t="shared" si="13"/>
        <v>0</v>
      </c>
      <c r="O107" s="587">
        <f t="shared" si="13"/>
        <v>3</v>
      </c>
      <c r="P107" s="587">
        <f t="shared" si="13"/>
        <v>0</v>
      </c>
    </row>
    <row r="108" spans="2:16">
      <c r="B108" s="587" t="s">
        <v>868</v>
      </c>
      <c r="C108" s="587" t="s">
        <v>875</v>
      </c>
      <c r="D108" s="587" t="s">
        <v>871</v>
      </c>
      <c r="E108" s="587"/>
      <c r="F108" s="587" t="str">
        <f t="shared" si="16"/>
        <v>Marche à pied (exclusivement sur tout le trajet)</v>
      </c>
      <c r="G108" s="587">
        <f t="shared" si="17"/>
        <v>7</v>
      </c>
      <c r="H108" s="587"/>
      <c r="I108" s="587">
        <v>5</v>
      </c>
      <c r="J108" s="587">
        <f t="shared" si="15"/>
        <v>0</v>
      </c>
      <c r="K108" s="587"/>
      <c r="L108" s="587"/>
      <c r="M108" s="587">
        <f t="shared" si="13"/>
        <v>0</v>
      </c>
      <c r="N108" s="587">
        <f t="shared" si="13"/>
        <v>7</v>
      </c>
      <c r="O108" s="587">
        <f t="shared" si="13"/>
        <v>0</v>
      </c>
      <c r="P108" s="587">
        <f t="shared" si="13"/>
        <v>0</v>
      </c>
    </row>
    <row r="109" spans="2:16">
      <c r="B109" s="587" t="s">
        <v>868</v>
      </c>
      <c r="C109" s="587" t="s">
        <v>869</v>
      </c>
      <c r="D109" s="587" t="s">
        <v>871</v>
      </c>
      <c r="E109" s="587"/>
      <c r="F109" s="587" t="str">
        <f t="shared" si="16"/>
        <v>Marche à pied (exclusivement sur tout le trajet)</v>
      </c>
      <c r="G109" s="587">
        <f t="shared" si="17"/>
        <v>7</v>
      </c>
      <c r="H109" s="587"/>
      <c r="I109" s="587">
        <v>2</v>
      </c>
      <c r="J109" s="587">
        <f t="shared" si="15"/>
        <v>0</v>
      </c>
      <c r="K109" s="587"/>
      <c r="L109" s="587"/>
      <c r="M109" s="587">
        <f t="shared" si="13"/>
        <v>7</v>
      </c>
      <c r="N109" s="587">
        <f t="shared" si="13"/>
        <v>0</v>
      </c>
      <c r="O109" s="587">
        <f t="shared" si="13"/>
        <v>0</v>
      </c>
      <c r="P109" s="587">
        <f t="shared" si="13"/>
        <v>0</v>
      </c>
    </row>
    <row r="110" spans="2:16">
      <c r="B110" s="587" t="s">
        <v>868</v>
      </c>
      <c r="C110" s="587" t="s">
        <v>882</v>
      </c>
      <c r="D110" s="587" t="s">
        <v>871</v>
      </c>
      <c r="E110" s="587"/>
      <c r="F110" s="587" t="str">
        <f t="shared" si="16"/>
        <v>Marche à pied (exclusivement sur tout le trajet)</v>
      </c>
      <c r="G110" s="587">
        <f t="shared" si="17"/>
        <v>7</v>
      </c>
      <c r="H110" s="587"/>
      <c r="I110" s="587">
        <v>3</v>
      </c>
      <c r="J110" s="587">
        <f t="shared" si="15"/>
        <v>0</v>
      </c>
      <c r="K110" s="587"/>
      <c r="L110" s="587"/>
      <c r="M110" s="587">
        <f t="shared" si="13"/>
        <v>0</v>
      </c>
      <c r="N110" s="587">
        <f t="shared" si="13"/>
        <v>0</v>
      </c>
      <c r="O110" s="587">
        <f t="shared" si="13"/>
        <v>7</v>
      </c>
      <c r="P110" s="587">
        <f t="shared" si="13"/>
        <v>0</v>
      </c>
    </row>
    <row r="111" spans="2:16">
      <c r="B111" s="587" t="s">
        <v>868</v>
      </c>
      <c r="C111" s="587" t="s">
        <v>875</v>
      </c>
      <c r="D111" s="587" t="s">
        <v>871</v>
      </c>
      <c r="E111" s="587"/>
      <c r="F111" s="587" t="str">
        <f t="shared" si="16"/>
        <v>Marche à pied (exclusivement sur tout le trajet)</v>
      </c>
      <c r="G111" s="587">
        <f t="shared" si="17"/>
        <v>7</v>
      </c>
      <c r="H111" s="587"/>
      <c r="I111" s="587">
        <v>10</v>
      </c>
      <c r="J111" s="587">
        <f t="shared" si="15"/>
        <v>0</v>
      </c>
      <c r="K111" s="587"/>
      <c r="L111" s="587"/>
      <c r="M111" s="587">
        <f t="shared" si="13"/>
        <v>0</v>
      </c>
      <c r="N111" s="587">
        <f t="shared" si="13"/>
        <v>7</v>
      </c>
      <c r="O111" s="587">
        <f t="shared" si="13"/>
        <v>0</v>
      </c>
      <c r="P111" s="587">
        <f t="shared" si="13"/>
        <v>0</v>
      </c>
    </row>
    <row r="112" spans="2:16">
      <c r="B112" s="587" t="s">
        <v>868</v>
      </c>
      <c r="C112" s="587" t="s">
        <v>869</v>
      </c>
      <c r="D112" s="587" t="s">
        <v>872</v>
      </c>
      <c r="E112" s="587"/>
      <c r="F112" s="587" t="str">
        <f t="shared" si="16"/>
        <v>Vélo personnel (y compris vélo à assistance électrique)</v>
      </c>
      <c r="G112" s="587">
        <f t="shared" si="17"/>
        <v>7</v>
      </c>
      <c r="H112" s="587"/>
      <c r="I112" s="587">
        <v>15</v>
      </c>
      <c r="J112" s="587">
        <f t="shared" si="15"/>
        <v>0</v>
      </c>
      <c r="K112" s="587"/>
      <c r="L112" s="587"/>
      <c r="M112" s="587">
        <f t="shared" si="13"/>
        <v>7</v>
      </c>
      <c r="N112" s="587">
        <f t="shared" si="13"/>
        <v>0</v>
      </c>
      <c r="O112" s="587">
        <f t="shared" si="13"/>
        <v>0</v>
      </c>
      <c r="P112" s="587">
        <f t="shared" si="13"/>
        <v>0</v>
      </c>
    </row>
    <row r="113" spans="2:16">
      <c r="B113" s="587" t="s">
        <v>868</v>
      </c>
      <c r="C113" s="587" t="s">
        <v>875</v>
      </c>
      <c r="D113" s="587" t="s">
        <v>872</v>
      </c>
      <c r="E113" s="587"/>
      <c r="F113" s="587" t="str">
        <f t="shared" si="16"/>
        <v>Vélo personnel (y compris vélo à assistance électrique)</v>
      </c>
      <c r="G113" s="587">
        <f t="shared" si="17"/>
        <v>7</v>
      </c>
      <c r="H113" s="587"/>
      <c r="I113" s="587">
        <v>20</v>
      </c>
      <c r="J113" s="587">
        <f t="shared" si="15"/>
        <v>0</v>
      </c>
      <c r="K113" s="587"/>
      <c r="L113" s="587"/>
      <c r="M113" s="587">
        <f t="shared" si="13"/>
        <v>0</v>
      </c>
      <c r="N113" s="587">
        <f t="shared" si="13"/>
        <v>7</v>
      </c>
      <c r="O113" s="587">
        <f t="shared" si="13"/>
        <v>0</v>
      </c>
      <c r="P113" s="587">
        <f t="shared" si="13"/>
        <v>0</v>
      </c>
    </row>
    <row r="114" spans="2:16">
      <c r="B114" s="587" t="s">
        <v>868</v>
      </c>
      <c r="C114" s="587" t="s">
        <v>882</v>
      </c>
      <c r="D114" s="587"/>
      <c r="E114" s="587" t="s">
        <v>848</v>
      </c>
      <c r="F114" s="587" t="str">
        <f t="shared" si="16"/>
        <v>Bus</v>
      </c>
      <c r="G114" s="587">
        <f t="shared" si="17"/>
        <v>2</v>
      </c>
      <c r="H114" s="587"/>
      <c r="I114" s="587">
        <v>20</v>
      </c>
      <c r="J114" s="587">
        <f t="shared" si="15"/>
        <v>1.29</v>
      </c>
      <c r="K114" s="587"/>
      <c r="L114" s="587"/>
      <c r="M114" s="587">
        <f t="shared" si="13"/>
        <v>0</v>
      </c>
      <c r="N114" s="587">
        <f t="shared" si="13"/>
        <v>0</v>
      </c>
      <c r="O114" s="587">
        <f t="shared" si="13"/>
        <v>2</v>
      </c>
      <c r="P114" s="587">
        <f t="shared" si="13"/>
        <v>0</v>
      </c>
    </row>
    <row r="115" spans="2:16">
      <c r="B115" s="587" t="s">
        <v>868</v>
      </c>
      <c r="C115" s="587" t="s">
        <v>869</v>
      </c>
      <c r="D115" s="587" t="s">
        <v>871</v>
      </c>
      <c r="E115" s="587"/>
      <c r="F115" s="587" t="str">
        <f t="shared" si="16"/>
        <v>Marche à pied (exclusivement sur tout le trajet)</v>
      </c>
      <c r="G115" s="587">
        <f t="shared" si="17"/>
        <v>7</v>
      </c>
      <c r="H115" s="587"/>
      <c r="I115" s="587">
        <v>5</v>
      </c>
      <c r="J115" s="587">
        <f t="shared" si="15"/>
        <v>0</v>
      </c>
      <c r="K115" s="587"/>
      <c r="L115" s="587"/>
      <c r="M115" s="587">
        <f t="shared" si="13"/>
        <v>7</v>
      </c>
      <c r="N115" s="587">
        <f t="shared" si="13"/>
        <v>0</v>
      </c>
      <c r="O115" s="587">
        <f t="shared" si="13"/>
        <v>0</v>
      </c>
      <c r="P115" s="587">
        <f t="shared" si="13"/>
        <v>0</v>
      </c>
    </row>
    <row r="116" spans="2:16">
      <c r="B116" s="587" t="s">
        <v>868</v>
      </c>
      <c r="C116" s="587" t="s">
        <v>869</v>
      </c>
      <c r="D116" s="587" t="s">
        <v>871</v>
      </c>
      <c r="E116" s="587"/>
      <c r="F116" s="587" t="str">
        <f t="shared" si="16"/>
        <v>Marche à pied (exclusivement sur tout le trajet)</v>
      </c>
      <c r="G116" s="587">
        <f t="shared" si="17"/>
        <v>7</v>
      </c>
      <c r="H116" s="587"/>
      <c r="I116" s="587">
        <v>2</v>
      </c>
      <c r="J116" s="587">
        <f t="shared" si="15"/>
        <v>0</v>
      </c>
      <c r="K116" s="587"/>
      <c r="L116" s="587"/>
      <c r="M116" s="587">
        <f t="shared" si="13"/>
        <v>7</v>
      </c>
      <c r="N116" s="587">
        <f t="shared" si="13"/>
        <v>0</v>
      </c>
      <c r="O116" s="587">
        <f t="shared" si="13"/>
        <v>0</v>
      </c>
      <c r="P116" s="587">
        <f t="shared" ref="P116:P179" si="18">IF($C116=P$27,$G116,0)</f>
        <v>0</v>
      </c>
    </row>
    <row r="117" spans="2:16">
      <c r="B117" s="587" t="s">
        <v>868</v>
      </c>
      <c r="C117" s="587" t="s">
        <v>875</v>
      </c>
      <c r="D117" s="587"/>
      <c r="E117" s="587" t="s">
        <v>870</v>
      </c>
      <c r="F117" s="587" t="str">
        <f t="shared" si="16"/>
        <v>Métro</v>
      </c>
      <c r="G117" s="587">
        <f t="shared" si="17"/>
        <v>1</v>
      </c>
      <c r="H117" s="587"/>
      <c r="I117" s="587">
        <v>40</v>
      </c>
      <c r="J117" s="587">
        <f t="shared" si="15"/>
        <v>4.8833333333333326E-2</v>
      </c>
      <c r="K117" s="587"/>
      <c r="L117" s="587"/>
      <c r="M117" s="587">
        <f t="shared" ref="M117:O157" si="19">IF($C117=M$27,$G117,0)</f>
        <v>0</v>
      </c>
      <c r="N117" s="587">
        <f t="shared" si="19"/>
        <v>1</v>
      </c>
      <c r="O117" s="587">
        <f t="shared" si="19"/>
        <v>0</v>
      </c>
      <c r="P117" s="587">
        <f t="shared" si="18"/>
        <v>0</v>
      </c>
    </row>
    <row r="118" spans="2:16">
      <c r="B118" s="587" t="s">
        <v>868</v>
      </c>
      <c r="C118" s="587" t="s">
        <v>875</v>
      </c>
      <c r="D118" s="587" t="s">
        <v>872</v>
      </c>
      <c r="E118" s="587"/>
      <c r="F118" s="587" t="str">
        <f t="shared" si="16"/>
        <v>Vélo personnel (y compris vélo à assistance électrique)</v>
      </c>
      <c r="G118" s="587">
        <f t="shared" si="17"/>
        <v>7</v>
      </c>
      <c r="H118" s="587"/>
      <c r="I118" s="587">
        <v>25</v>
      </c>
      <c r="J118" s="587">
        <f t="shared" si="15"/>
        <v>0</v>
      </c>
      <c r="K118" s="587"/>
      <c r="L118" s="587"/>
      <c r="M118" s="587">
        <f t="shared" si="19"/>
        <v>0</v>
      </c>
      <c r="N118" s="587">
        <f t="shared" si="19"/>
        <v>7</v>
      </c>
      <c r="O118" s="587">
        <f t="shared" si="19"/>
        <v>0</v>
      </c>
      <c r="P118" s="587">
        <f t="shared" si="18"/>
        <v>0</v>
      </c>
    </row>
    <row r="119" spans="2:16">
      <c r="B119" s="587" t="s">
        <v>868</v>
      </c>
      <c r="C119" s="587" t="s">
        <v>869</v>
      </c>
      <c r="D119" s="587"/>
      <c r="E119" s="587" t="s">
        <v>878</v>
      </c>
      <c r="F119" s="587" t="str">
        <f t="shared" si="16"/>
        <v>Marche à pied au-delà de 5 minutes</v>
      </c>
      <c r="G119" s="587">
        <f t="shared" si="17"/>
        <v>7</v>
      </c>
      <c r="H119" s="587"/>
      <c r="I119" s="587">
        <v>35</v>
      </c>
      <c r="J119" s="587">
        <f t="shared" si="15"/>
        <v>0</v>
      </c>
      <c r="K119" s="587"/>
      <c r="L119" s="587"/>
      <c r="M119" s="587">
        <f t="shared" si="19"/>
        <v>7</v>
      </c>
      <c r="N119" s="587">
        <f t="shared" si="19"/>
        <v>0</v>
      </c>
      <c r="O119" s="587">
        <f t="shared" si="19"/>
        <v>0</v>
      </c>
      <c r="P119" s="587">
        <f t="shared" si="18"/>
        <v>0</v>
      </c>
    </row>
    <row r="120" spans="2:16">
      <c r="B120" s="587" t="s">
        <v>868</v>
      </c>
      <c r="C120" s="587" t="s">
        <v>869</v>
      </c>
      <c r="D120" s="587"/>
      <c r="E120" s="587" t="s">
        <v>870</v>
      </c>
      <c r="F120" s="587" t="str">
        <f t="shared" si="16"/>
        <v>Métro</v>
      </c>
      <c r="G120" s="587">
        <f t="shared" si="17"/>
        <v>1</v>
      </c>
      <c r="H120" s="587"/>
      <c r="I120" s="587">
        <v>30</v>
      </c>
      <c r="J120" s="587">
        <f t="shared" si="15"/>
        <v>4.8833333333333326E-2</v>
      </c>
      <c r="K120" s="587"/>
      <c r="L120" s="587"/>
      <c r="M120" s="587">
        <f t="shared" si="19"/>
        <v>1</v>
      </c>
      <c r="N120" s="587">
        <f t="shared" si="19"/>
        <v>0</v>
      </c>
      <c r="O120" s="587">
        <f t="shared" si="19"/>
        <v>0</v>
      </c>
      <c r="P120" s="587">
        <f t="shared" si="18"/>
        <v>0</v>
      </c>
    </row>
    <row r="121" spans="2:16">
      <c r="B121" s="587" t="s">
        <v>868</v>
      </c>
      <c r="C121" s="587" t="s">
        <v>882</v>
      </c>
      <c r="D121" s="587"/>
      <c r="E121" s="587" t="s">
        <v>878</v>
      </c>
      <c r="F121" s="587" t="str">
        <f t="shared" si="16"/>
        <v>Marche à pied au-delà de 5 minutes</v>
      </c>
      <c r="G121" s="587">
        <f t="shared" si="17"/>
        <v>7</v>
      </c>
      <c r="H121" s="587"/>
      <c r="I121" s="587">
        <v>30</v>
      </c>
      <c r="J121" s="587">
        <f t="shared" si="15"/>
        <v>0</v>
      </c>
      <c r="K121" s="587"/>
      <c r="L121" s="587"/>
      <c r="M121" s="587">
        <f t="shared" si="19"/>
        <v>0</v>
      </c>
      <c r="N121" s="587">
        <f t="shared" si="19"/>
        <v>0</v>
      </c>
      <c r="O121" s="587">
        <f t="shared" si="19"/>
        <v>7</v>
      </c>
      <c r="P121" s="587">
        <f t="shared" si="18"/>
        <v>0</v>
      </c>
    </row>
    <row r="122" spans="2:16">
      <c r="B122" s="587" t="s">
        <v>868</v>
      </c>
      <c r="C122" s="587" t="s">
        <v>869</v>
      </c>
      <c r="D122" s="587" t="s">
        <v>872</v>
      </c>
      <c r="E122" s="587"/>
      <c r="F122" s="587" t="str">
        <f t="shared" si="16"/>
        <v>Vélo personnel (y compris vélo à assistance électrique)</v>
      </c>
      <c r="G122" s="587">
        <f t="shared" si="17"/>
        <v>7</v>
      </c>
      <c r="H122" s="587"/>
      <c r="I122" s="587">
        <v>10</v>
      </c>
      <c r="J122" s="587">
        <f t="shared" si="15"/>
        <v>0</v>
      </c>
      <c r="K122" s="587"/>
      <c r="L122" s="587"/>
      <c r="M122" s="587">
        <f t="shared" si="19"/>
        <v>7</v>
      </c>
      <c r="N122" s="587">
        <f t="shared" si="19"/>
        <v>0</v>
      </c>
      <c r="O122" s="587">
        <f t="shared" si="19"/>
        <v>0</v>
      </c>
      <c r="P122" s="587">
        <f t="shared" si="18"/>
        <v>0</v>
      </c>
    </row>
    <row r="123" spans="2:16">
      <c r="B123" s="587" t="s">
        <v>868</v>
      </c>
      <c r="C123" s="587" t="s">
        <v>869</v>
      </c>
      <c r="D123" s="587" t="s">
        <v>871</v>
      </c>
      <c r="E123" s="587"/>
      <c r="F123" s="587" t="str">
        <f t="shared" si="16"/>
        <v>Marche à pied (exclusivement sur tout le trajet)</v>
      </c>
      <c r="G123" s="587">
        <f t="shared" si="17"/>
        <v>7</v>
      </c>
      <c r="H123" s="587"/>
      <c r="I123" s="587">
        <v>5</v>
      </c>
      <c r="J123" s="587">
        <f t="shared" si="15"/>
        <v>0</v>
      </c>
      <c r="K123" s="587"/>
      <c r="L123" s="587"/>
      <c r="M123" s="587">
        <f t="shared" si="19"/>
        <v>7</v>
      </c>
      <c r="N123" s="587">
        <f t="shared" si="19"/>
        <v>0</v>
      </c>
      <c r="O123" s="587">
        <f t="shared" si="19"/>
        <v>0</v>
      </c>
      <c r="P123" s="587">
        <f t="shared" si="18"/>
        <v>0</v>
      </c>
    </row>
    <row r="124" spans="2:16">
      <c r="B124" s="587" t="s">
        <v>868</v>
      </c>
      <c r="C124" s="587" t="s">
        <v>882</v>
      </c>
      <c r="D124" s="587" t="s">
        <v>871</v>
      </c>
      <c r="E124" s="587"/>
      <c r="F124" s="587" t="str">
        <f t="shared" si="16"/>
        <v>Marche à pied (exclusivement sur tout le trajet)</v>
      </c>
      <c r="G124" s="587">
        <f t="shared" si="17"/>
        <v>7</v>
      </c>
      <c r="H124" s="587"/>
      <c r="I124" s="587">
        <v>30</v>
      </c>
      <c r="J124" s="587">
        <f t="shared" ref="J124:J155" si="20">IF(G124=1,$C$6*($I$28*$K$6)/$J$6,IF(G124=2,$C$7*($I$28*$K$7)/$J$7,IF(G124=3,$C$8*$I$28*$K$8/$J$8,IF(G124=4,$C$9*$I$28*$K$9/$J$9,IF(G124=5,$C$10*$I$28*$K$10/$J$10,IF(G124=6,$C$11*$K$11*$I$28/$J$11,0))))))</f>
        <v>0</v>
      </c>
      <c r="K124" s="587"/>
      <c r="L124" s="587"/>
      <c r="M124" s="587">
        <f t="shared" si="19"/>
        <v>0</v>
      </c>
      <c r="N124" s="587">
        <f t="shared" si="19"/>
        <v>0</v>
      </c>
      <c r="O124" s="587">
        <f t="shared" si="19"/>
        <v>7</v>
      </c>
      <c r="P124" s="587">
        <f t="shared" si="18"/>
        <v>0</v>
      </c>
    </row>
    <row r="125" spans="2:16">
      <c r="B125" s="587" t="s">
        <v>868</v>
      </c>
      <c r="C125" s="587" t="s">
        <v>869</v>
      </c>
      <c r="D125" s="587" t="s">
        <v>871</v>
      </c>
      <c r="E125" s="587"/>
      <c r="F125" s="587" t="str">
        <f t="shared" si="16"/>
        <v>Marche à pied (exclusivement sur tout le trajet)</v>
      </c>
      <c r="G125" s="587">
        <f t="shared" si="17"/>
        <v>7</v>
      </c>
      <c r="H125" s="587"/>
      <c r="I125" s="587">
        <v>5</v>
      </c>
      <c r="J125" s="587">
        <f t="shared" si="20"/>
        <v>0</v>
      </c>
      <c r="K125" s="587"/>
      <c r="L125" s="587"/>
      <c r="M125" s="587">
        <f t="shared" si="19"/>
        <v>7</v>
      </c>
      <c r="N125" s="587">
        <f t="shared" si="19"/>
        <v>0</v>
      </c>
      <c r="O125" s="587">
        <f t="shared" si="19"/>
        <v>0</v>
      </c>
      <c r="P125" s="587">
        <f t="shared" si="18"/>
        <v>0</v>
      </c>
    </row>
    <row r="126" spans="2:16">
      <c r="B126" s="587" t="s">
        <v>868</v>
      </c>
      <c r="C126" s="587" t="s">
        <v>882</v>
      </c>
      <c r="D126" s="587" t="s">
        <v>879</v>
      </c>
      <c r="E126" s="587"/>
      <c r="F126" s="587" t="str">
        <f t="shared" si="16"/>
        <v>Voiture (seul(e))</v>
      </c>
      <c r="G126" s="587">
        <f t="shared" si="17"/>
        <v>3</v>
      </c>
      <c r="H126" s="587"/>
      <c r="I126" s="587">
        <v>60</v>
      </c>
      <c r="J126" s="587">
        <f t="shared" si="20"/>
        <v>2.7600000000000002</v>
      </c>
      <c r="K126" s="587"/>
      <c r="L126" s="587"/>
      <c r="M126" s="587">
        <f t="shared" si="19"/>
        <v>0</v>
      </c>
      <c r="N126" s="587">
        <f t="shared" si="19"/>
        <v>0</v>
      </c>
      <c r="O126" s="587">
        <f t="shared" si="19"/>
        <v>3</v>
      </c>
      <c r="P126" s="587">
        <f t="shared" si="18"/>
        <v>0</v>
      </c>
    </row>
    <row r="127" spans="2:16">
      <c r="B127" s="587" t="s">
        <v>868</v>
      </c>
      <c r="C127" s="587" t="s">
        <v>882</v>
      </c>
      <c r="D127" s="587"/>
      <c r="E127" s="587" t="s">
        <v>879</v>
      </c>
      <c r="F127" s="587" t="str">
        <f t="shared" si="16"/>
        <v>Voiture (seul(e))</v>
      </c>
      <c r="G127" s="587">
        <f t="shared" si="17"/>
        <v>3</v>
      </c>
      <c r="H127" s="587"/>
      <c r="I127" s="587">
        <v>80</v>
      </c>
      <c r="J127" s="587">
        <f t="shared" si="20"/>
        <v>2.7600000000000002</v>
      </c>
      <c r="K127" s="587"/>
      <c r="L127" s="587"/>
      <c r="M127" s="587">
        <f t="shared" si="19"/>
        <v>0</v>
      </c>
      <c r="N127" s="587">
        <f t="shared" si="19"/>
        <v>0</v>
      </c>
      <c r="O127" s="587">
        <f t="shared" si="19"/>
        <v>3</v>
      </c>
      <c r="P127" s="587">
        <f t="shared" si="18"/>
        <v>0</v>
      </c>
    </row>
    <row r="128" spans="2:16">
      <c r="B128" s="587" t="s">
        <v>868</v>
      </c>
      <c r="C128" s="587" t="s">
        <v>875</v>
      </c>
      <c r="D128" s="587" t="s">
        <v>872</v>
      </c>
      <c r="E128" s="587"/>
      <c r="F128" s="587" t="str">
        <f t="shared" si="16"/>
        <v>Vélo personnel (y compris vélo à assistance électrique)</v>
      </c>
      <c r="G128" s="587">
        <f t="shared" si="17"/>
        <v>7</v>
      </c>
      <c r="H128" s="587"/>
      <c r="I128" s="587">
        <v>25</v>
      </c>
      <c r="J128" s="587">
        <f t="shared" si="20"/>
        <v>0</v>
      </c>
      <c r="K128" s="587"/>
      <c r="L128" s="587"/>
      <c r="M128" s="587">
        <f t="shared" si="19"/>
        <v>0</v>
      </c>
      <c r="N128" s="587">
        <f t="shared" si="19"/>
        <v>7</v>
      </c>
      <c r="O128" s="587">
        <f t="shared" si="19"/>
        <v>0</v>
      </c>
      <c r="P128" s="587">
        <f t="shared" si="18"/>
        <v>0</v>
      </c>
    </row>
    <row r="129" spans="2:16">
      <c r="B129" s="587" t="s">
        <v>868</v>
      </c>
      <c r="C129" s="587" t="s">
        <v>882</v>
      </c>
      <c r="D129" s="587" t="s">
        <v>848</v>
      </c>
      <c r="E129" s="587"/>
      <c r="F129" s="587" t="str">
        <f t="shared" si="16"/>
        <v>Bus</v>
      </c>
      <c r="G129" s="587">
        <f t="shared" si="17"/>
        <v>2</v>
      </c>
      <c r="H129" s="587"/>
      <c r="I129" s="587">
        <v>30</v>
      </c>
      <c r="J129" s="587">
        <f t="shared" si="20"/>
        <v>1.29</v>
      </c>
      <c r="K129" s="587"/>
      <c r="L129" s="587"/>
      <c r="M129" s="587">
        <f t="shared" si="19"/>
        <v>0</v>
      </c>
      <c r="N129" s="587">
        <f t="shared" si="19"/>
        <v>0</v>
      </c>
      <c r="O129" s="587">
        <f t="shared" si="19"/>
        <v>2</v>
      </c>
      <c r="P129" s="587">
        <f t="shared" si="18"/>
        <v>0</v>
      </c>
    </row>
    <row r="130" spans="2:16">
      <c r="B130" s="587" t="s">
        <v>868</v>
      </c>
      <c r="C130" s="587" t="s">
        <v>882</v>
      </c>
      <c r="D130" s="587" t="s">
        <v>879</v>
      </c>
      <c r="E130" s="587"/>
      <c r="F130" s="587" t="str">
        <f t="shared" si="16"/>
        <v>Voiture (seul(e))</v>
      </c>
      <c r="G130" s="587">
        <f t="shared" si="17"/>
        <v>3</v>
      </c>
      <c r="H130" s="587"/>
      <c r="I130" s="587">
        <v>30</v>
      </c>
      <c r="J130" s="587">
        <f t="shared" si="20"/>
        <v>2.7600000000000002</v>
      </c>
      <c r="K130" s="587"/>
      <c r="L130" s="587"/>
      <c r="M130" s="587">
        <f t="shared" si="19"/>
        <v>0</v>
      </c>
      <c r="N130" s="587">
        <f t="shared" si="19"/>
        <v>0</v>
      </c>
      <c r="O130" s="587">
        <f t="shared" si="19"/>
        <v>3</v>
      </c>
      <c r="P130" s="587">
        <f t="shared" si="18"/>
        <v>0</v>
      </c>
    </row>
    <row r="131" spans="2:16">
      <c r="B131" s="587" t="s">
        <v>868</v>
      </c>
      <c r="C131" s="587" t="s">
        <v>882</v>
      </c>
      <c r="D131" s="587" t="s">
        <v>879</v>
      </c>
      <c r="E131" s="587"/>
      <c r="F131" s="587" t="str">
        <f t="shared" si="16"/>
        <v>Voiture (seul(e))</v>
      </c>
      <c r="G131" s="587">
        <f t="shared" si="17"/>
        <v>3</v>
      </c>
      <c r="H131" s="587"/>
      <c r="I131" s="587">
        <v>50</v>
      </c>
      <c r="J131" s="587">
        <f t="shared" si="20"/>
        <v>2.7600000000000002</v>
      </c>
      <c r="K131" s="587"/>
      <c r="L131" s="587"/>
      <c r="M131" s="587">
        <f t="shared" si="19"/>
        <v>0</v>
      </c>
      <c r="N131" s="587">
        <f t="shared" si="19"/>
        <v>0</v>
      </c>
      <c r="O131" s="587">
        <f t="shared" si="19"/>
        <v>3</v>
      </c>
      <c r="P131" s="587">
        <f t="shared" si="18"/>
        <v>0</v>
      </c>
    </row>
    <row r="132" spans="2:16">
      <c r="B132" s="587" t="s">
        <v>868</v>
      </c>
      <c r="C132" s="587" t="s">
        <v>869</v>
      </c>
      <c r="D132" s="587"/>
      <c r="E132" s="587" t="s">
        <v>848</v>
      </c>
      <c r="F132" s="587" t="str">
        <f t="shared" si="16"/>
        <v>Bus</v>
      </c>
      <c r="G132" s="587">
        <f t="shared" si="17"/>
        <v>2</v>
      </c>
      <c r="H132" s="587"/>
      <c r="I132" s="587">
        <v>70</v>
      </c>
      <c r="J132" s="587">
        <f t="shared" si="20"/>
        <v>1.29</v>
      </c>
      <c r="K132" s="587"/>
      <c r="L132" s="587"/>
      <c r="M132" s="587">
        <f t="shared" si="19"/>
        <v>2</v>
      </c>
      <c r="N132" s="587">
        <f t="shared" si="19"/>
        <v>0</v>
      </c>
      <c r="O132" s="587">
        <f t="shared" si="19"/>
        <v>0</v>
      </c>
      <c r="P132" s="587">
        <f t="shared" si="18"/>
        <v>0</v>
      </c>
    </row>
    <row r="133" spans="2:16">
      <c r="B133" s="587" t="s">
        <v>868</v>
      </c>
      <c r="C133" s="587" t="s">
        <v>875</v>
      </c>
      <c r="D133" s="587"/>
      <c r="E133" s="587" t="s">
        <v>878</v>
      </c>
      <c r="F133" s="587" t="str">
        <f t="shared" si="16"/>
        <v>Marche à pied au-delà de 5 minutes</v>
      </c>
      <c r="G133" s="587">
        <f t="shared" si="17"/>
        <v>7</v>
      </c>
      <c r="H133" s="587"/>
      <c r="I133" s="587">
        <v>40</v>
      </c>
      <c r="J133" s="587">
        <f t="shared" si="20"/>
        <v>0</v>
      </c>
      <c r="K133" s="587"/>
      <c r="L133" s="587"/>
      <c r="M133" s="587">
        <f t="shared" si="19"/>
        <v>0</v>
      </c>
      <c r="N133" s="587">
        <f t="shared" si="19"/>
        <v>7</v>
      </c>
      <c r="O133" s="587">
        <f t="shared" si="19"/>
        <v>0</v>
      </c>
      <c r="P133" s="587">
        <f t="shared" si="18"/>
        <v>0</v>
      </c>
    </row>
    <row r="134" spans="2:16">
      <c r="B134" s="587" t="s">
        <v>868</v>
      </c>
      <c r="C134" s="587" t="s">
        <v>882</v>
      </c>
      <c r="D134" s="587"/>
      <c r="E134" s="587" t="s">
        <v>878</v>
      </c>
      <c r="F134" s="587" t="str">
        <f t="shared" si="16"/>
        <v>Marche à pied au-delà de 5 minutes</v>
      </c>
      <c r="G134" s="587">
        <f t="shared" si="17"/>
        <v>7</v>
      </c>
      <c r="H134" s="587"/>
      <c r="I134" s="587">
        <v>35</v>
      </c>
      <c r="J134" s="587">
        <f t="shared" si="20"/>
        <v>0</v>
      </c>
      <c r="K134" s="587"/>
      <c r="L134" s="587"/>
      <c r="M134" s="587">
        <f t="shared" si="19"/>
        <v>0</v>
      </c>
      <c r="N134" s="587">
        <f t="shared" si="19"/>
        <v>0</v>
      </c>
      <c r="O134" s="587">
        <f t="shared" si="19"/>
        <v>7</v>
      </c>
      <c r="P134" s="587">
        <f t="shared" si="18"/>
        <v>0</v>
      </c>
    </row>
    <row r="135" spans="2:16">
      <c r="B135" s="587" t="s">
        <v>868</v>
      </c>
      <c r="C135" s="587" t="s">
        <v>869</v>
      </c>
      <c r="D135" s="587" t="s">
        <v>871</v>
      </c>
      <c r="E135" s="587"/>
      <c r="F135" s="587" t="str">
        <f t="shared" si="16"/>
        <v>Marche à pied (exclusivement sur tout le trajet)</v>
      </c>
      <c r="G135" s="587">
        <f t="shared" si="17"/>
        <v>7</v>
      </c>
      <c r="H135" s="587"/>
      <c r="I135" s="587">
        <v>15</v>
      </c>
      <c r="J135" s="587">
        <f t="shared" si="20"/>
        <v>0</v>
      </c>
      <c r="K135" s="587"/>
      <c r="L135" s="587"/>
      <c r="M135" s="587">
        <f t="shared" si="19"/>
        <v>7</v>
      </c>
      <c r="N135" s="587">
        <f t="shared" si="19"/>
        <v>0</v>
      </c>
      <c r="O135" s="587">
        <f t="shared" si="19"/>
        <v>0</v>
      </c>
      <c r="P135" s="587">
        <f t="shared" si="18"/>
        <v>0</v>
      </c>
    </row>
    <row r="136" spans="2:16">
      <c r="B136" s="587" t="s">
        <v>868</v>
      </c>
      <c r="C136" s="587" t="s">
        <v>869</v>
      </c>
      <c r="D136" s="587" t="s">
        <v>871</v>
      </c>
      <c r="E136" s="587"/>
      <c r="F136" s="587" t="str">
        <f t="shared" si="16"/>
        <v>Marche à pied (exclusivement sur tout le trajet)</v>
      </c>
      <c r="G136" s="587">
        <f t="shared" si="17"/>
        <v>7</v>
      </c>
      <c r="H136" s="587"/>
      <c r="I136" s="587">
        <v>2</v>
      </c>
      <c r="J136" s="587">
        <f t="shared" si="20"/>
        <v>0</v>
      </c>
      <c r="K136" s="587"/>
      <c r="L136" s="587"/>
      <c r="M136" s="587">
        <f t="shared" si="19"/>
        <v>7</v>
      </c>
      <c r="N136" s="587">
        <f t="shared" si="19"/>
        <v>0</v>
      </c>
      <c r="O136" s="587">
        <f t="shared" si="19"/>
        <v>0</v>
      </c>
      <c r="P136" s="587">
        <f t="shared" si="18"/>
        <v>0</v>
      </c>
    </row>
    <row r="137" spans="2:16">
      <c r="B137" s="587" t="s">
        <v>868</v>
      </c>
      <c r="C137" s="587" t="s">
        <v>882</v>
      </c>
      <c r="D137" s="587" t="s">
        <v>872</v>
      </c>
      <c r="E137" s="587"/>
      <c r="F137" s="587" t="str">
        <f t="shared" si="16"/>
        <v>Vélo personnel (y compris vélo à assistance électrique)</v>
      </c>
      <c r="G137" s="587">
        <f t="shared" si="17"/>
        <v>7</v>
      </c>
      <c r="H137" s="587"/>
      <c r="I137" s="587">
        <v>2</v>
      </c>
      <c r="J137" s="587">
        <f t="shared" si="20"/>
        <v>0</v>
      </c>
      <c r="K137" s="587"/>
      <c r="L137" s="587"/>
      <c r="M137" s="587">
        <f t="shared" si="19"/>
        <v>0</v>
      </c>
      <c r="N137" s="587">
        <f t="shared" si="19"/>
        <v>0</v>
      </c>
      <c r="O137" s="587">
        <f t="shared" si="19"/>
        <v>7</v>
      </c>
      <c r="P137" s="587">
        <f t="shared" si="18"/>
        <v>0</v>
      </c>
    </row>
    <row r="138" spans="2:16">
      <c r="B138" s="587" t="s">
        <v>868</v>
      </c>
      <c r="C138" s="587" t="s">
        <v>882</v>
      </c>
      <c r="D138" s="587" t="s">
        <v>872</v>
      </c>
      <c r="E138" s="587"/>
      <c r="F138" s="587" t="str">
        <f t="shared" si="16"/>
        <v>Vélo personnel (y compris vélo à assistance électrique)</v>
      </c>
      <c r="G138" s="587">
        <f t="shared" si="17"/>
        <v>7</v>
      </c>
      <c r="H138" s="587"/>
      <c r="I138" s="587">
        <v>15</v>
      </c>
      <c r="J138" s="587">
        <f t="shared" si="20"/>
        <v>0</v>
      </c>
      <c r="K138" s="587"/>
      <c r="L138" s="587"/>
      <c r="M138" s="587">
        <f t="shared" si="19"/>
        <v>0</v>
      </c>
      <c r="N138" s="587">
        <f t="shared" si="19"/>
        <v>0</v>
      </c>
      <c r="O138" s="587">
        <f t="shared" si="19"/>
        <v>7</v>
      </c>
      <c r="P138" s="587">
        <f t="shared" si="18"/>
        <v>0</v>
      </c>
    </row>
    <row r="139" spans="2:16">
      <c r="B139" s="587" t="s">
        <v>868</v>
      </c>
      <c r="C139" s="587" t="s">
        <v>875</v>
      </c>
      <c r="D139" s="587" t="s">
        <v>884</v>
      </c>
      <c r="E139" s="587"/>
      <c r="F139" s="587" t="str">
        <f t="shared" si="16"/>
        <v>Deux roues motorisées (moto, scooter, mobylette,…)</v>
      </c>
      <c r="G139" s="587">
        <f t="shared" si="17"/>
        <v>5</v>
      </c>
      <c r="H139" s="587"/>
      <c r="I139" s="587">
        <v>25</v>
      </c>
      <c r="J139" s="587">
        <f t="shared" si="20"/>
        <v>1.288</v>
      </c>
      <c r="K139" s="587"/>
      <c r="L139" s="587"/>
      <c r="M139" s="587">
        <f t="shared" si="19"/>
        <v>0</v>
      </c>
      <c r="N139" s="587">
        <f t="shared" si="19"/>
        <v>5</v>
      </c>
      <c r="O139" s="587">
        <f t="shared" si="19"/>
        <v>0</v>
      </c>
      <c r="P139" s="587">
        <f t="shared" si="18"/>
        <v>0</v>
      </c>
    </row>
    <row r="140" spans="2:16">
      <c r="B140" s="587" t="s">
        <v>868</v>
      </c>
      <c r="C140" s="587" t="s">
        <v>869</v>
      </c>
      <c r="D140" s="587" t="s">
        <v>871</v>
      </c>
      <c r="E140" s="587"/>
      <c r="F140" s="587" t="str">
        <f t="shared" si="16"/>
        <v>Marche à pied (exclusivement sur tout le trajet)</v>
      </c>
      <c r="G140" s="587">
        <f t="shared" si="17"/>
        <v>7</v>
      </c>
      <c r="H140" s="587"/>
      <c r="I140" s="587">
        <v>15</v>
      </c>
      <c r="J140" s="587">
        <f t="shared" si="20"/>
        <v>0</v>
      </c>
      <c r="K140" s="587"/>
      <c r="L140" s="587"/>
      <c r="M140" s="587">
        <f t="shared" si="19"/>
        <v>7</v>
      </c>
      <c r="N140" s="587">
        <f t="shared" si="19"/>
        <v>0</v>
      </c>
      <c r="O140" s="587">
        <f t="shared" si="19"/>
        <v>0</v>
      </c>
      <c r="P140" s="587">
        <f t="shared" si="18"/>
        <v>0</v>
      </c>
    </row>
    <row r="141" spans="2:16">
      <c r="B141" s="587" t="s">
        <v>868</v>
      </c>
      <c r="C141" s="587" t="s">
        <v>882</v>
      </c>
      <c r="D141" s="587" t="s">
        <v>879</v>
      </c>
      <c r="E141" s="587"/>
      <c r="F141" s="587" t="str">
        <f t="shared" si="16"/>
        <v>Voiture (seul(e))</v>
      </c>
      <c r="G141" s="587">
        <f t="shared" si="17"/>
        <v>3</v>
      </c>
      <c r="H141" s="587"/>
      <c r="I141" s="587">
        <v>45</v>
      </c>
      <c r="J141" s="587">
        <f t="shared" si="20"/>
        <v>2.7600000000000002</v>
      </c>
      <c r="K141" s="587"/>
      <c r="L141" s="587"/>
      <c r="M141" s="587">
        <f t="shared" si="19"/>
        <v>0</v>
      </c>
      <c r="N141" s="587">
        <f t="shared" si="19"/>
        <v>0</v>
      </c>
      <c r="O141" s="587">
        <f t="shared" si="19"/>
        <v>3</v>
      </c>
      <c r="P141" s="587">
        <f t="shared" si="18"/>
        <v>0</v>
      </c>
    </row>
    <row r="142" spans="2:16">
      <c r="B142" s="587" t="s">
        <v>868</v>
      </c>
      <c r="C142" s="587" t="s">
        <v>882</v>
      </c>
      <c r="D142" s="587"/>
      <c r="E142" s="587" t="s">
        <v>879</v>
      </c>
      <c r="F142" s="587" t="str">
        <f t="shared" si="16"/>
        <v>Voiture (seul(e))</v>
      </c>
      <c r="G142" s="587">
        <f t="shared" si="17"/>
        <v>3</v>
      </c>
      <c r="H142" s="587"/>
      <c r="I142" s="587">
        <v>60</v>
      </c>
      <c r="J142" s="587">
        <f t="shared" si="20"/>
        <v>2.7600000000000002</v>
      </c>
      <c r="K142" s="587"/>
      <c r="L142" s="587"/>
      <c r="M142" s="587">
        <f t="shared" si="19"/>
        <v>0</v>
      </c>
      <c r="N142" s="587">
        <f t="shared" si="19"/>
        <v>0</v>
      </c>
      <c r="O142" s="587">
        <f t="shared" si="19"/>
        <v>3</v>
      </c>
      <c r="P142" s="587">
        <f t="shared" si="18"/>
        <v>0</v>
      </c>
    </row>
    <row r="143" spans="2:16">
      <c r="B143" s="587" t="s">
        <v>868</v>
      </c>
      <c r="C143" s="587" t="s">
        <v>869</v>
      </c>
      <c r="D143" s="587" t="s">
        <v>879</v>
      </c>
      <c r="E143" s="587"/>
      <c r="F143" s="587" t="str">
        <f t="shared" si="16"/>
        <v>Voiture (seul(e))</v>
      </c>
      <c r="G143" s="587">
        <f t="shared" si="17"/>
        <v>3</v>
      </c>
      <c r="H143" s="587"/>
      <c r="I143" s="587">
        <v>20</v>
      </c>
      <c r="J143" s="587">
        <f t="shared" si="20"/>
        <v>2.7600000000000002</v>
      </c>
      <c r="K143" s="587"/>
      <c r="L143" s="587"/>
      <c r="M143" s="587">
        <f t="shared" si="19"/>
        <v>3</v>
      </c>
      <c r="N143" s="587">
        <f t="shared" si="19"/>
        <v>0</v>
      </c>
      <c r="O143" s="587">
        <f t="shared" si="19"/>
        <v>0</v>
      </c>
      <c r="P143" s="587">
        <f t="shared" si="18"/>
        <v>0</v>
      </c>
    </row>
    <row r="144" spans="2:16">
      <c r="B144" s="587" t="s">
        <v>868</v>
      </c>
      <c r="C144" s="587" t="s">
        <v>875</v>
      </c>
      <c r="D144" s="587"/>
      <c r="E144" s="587" t="s">
        <v>848</v>
      </c>
      <c r="F144" s="587" t="str">
        <f t="shared" si="16"/>
        <v>Bus</v>
      </c>
      <c r="G144" s="587">
        <f t="shared" si="17"/>
        <v>2</v>
      </c>
      <c r="H144" s="587"/>
      <c r="I144" s="587">
        <v>50</v>
      </c>
      <c r="J144" s="587">
        <f t="shared" si="20"/>
        <v>1.29</v>
      </c>
      <c r="K144" s="587"/>
      <c r="L144" s="587"/>
      <c r="M144" s="587">
        <f t="shared" si="19"/>
        <v>0</v>
      </c>
      <c r="N144" s="587">
        <f t="shared" si="19"/>
        <v>2</v>
      </c>
      <c r="O144" s="587">
        <f t="shared" si="19"/>
        <v>0</v>
      </c>
      <c r="P144" s="587">
        <f t="shared" si="18"/>
        <v>0</v>
      </c>
    </row>
    <row r="145" spans="2:16">
      <c r="B145" s="587" t="s">
        <v>868</v>
      </c>
      <c r="C145" s="587" t="s">
        <v>869</v>
      </c>
      <c r="D145" s="587" t="s">
        <v>876</v>
      </c>
      <c r="E145" s="587"/>
      <c r="F145" s="587" t="str">
        <f t="shared" si="16"/>
        <v>Trottinette, roller, skateboard,...</v>
      </c>
      <c r="G145" s="587">
        <f t="shared" si="17"/>
        <v>7</v>
      </c>
      <c r="H145" s="587"/>
      <c r="I145" s="587">
        <v>8</v>
      </c>
      <c r="J145" s="587">
        <f t="shared" si="20"/>
        <v>0</v>
      </c>
      <c r="K145" s="587"/>
      <c r="L145" s="587"/>
      <c r="M145" s="587">
        <f t="shared" si="19"/>
        <v>7</v>
      </c>
      <c r="N145" s="587">
        <f t="shared" si="19"/>
        <v>0</v>
      </c>
      <c r="O145" s="587">
        <f t="shared" si="19"/>
        <v>0</v>
      </c>
      <c r="P145" s="587">
        <f t="shared" si="18"/>
        <v>0</v>
      </c>
    </row>
    <row r="146" spans="2:16">
      <c r="B146" s="587" t="s">
        <v>868</v>
      </c>
      <c r="C146" s="587" t="s">
        <v>869</v>
      </c>
      <c r="D146" s="587" t="s">
        <v>879</v>
      </c>
      <c r="E146" s="587"/>
      <c r="F146" s="587" t="str">
        <f t="shared" si="16"/>
        <v>Voiture (seul(e))</v>
      </c>
      <c r="G146" s="587">
        <f t="shared" si="17"/>
        <v>3</v>
      </c>
      <c r="H146" s="587"/>
      <c r="I146" s="587">
        <v>45</v>
      </c>
      <c r="J146" s="587">
        <f t="shared" si="20"/>
        <v>2.7600000000000002</v>
      </c>
      <c r="K146" s="587"/>
      <c r="L146" s="587"/>
      <c r="M146" s="587">
        <f t="shared" si="19"/>
        <v>3</v>
      </c>
      <c r="N146" s="587">
        <f t="shared" si="19"/>
        <v>0</v>
      </c>
      <c r="O146" s="587">
        <f t="shared" si="19"/>
        <v>0</v>
      </c>
      <c r="P146" s="587">
        <f t="shared" si="18"/>
        <v>0</v>
      </c>
    </row>
    <row r="147" spans="2:16">
      <c r="B147" s="587" t="s">
        <v>868</v>
      </c>
      <c r="C147" s="587" t="s">
        <v>35</v>
      </c>
      <c r="D147" s="587" t="s">
        <v>879</v>
      </c>
      <c r="E147" s="587"/>
      <c r="F147" s="587" t="str">
        <f t="shared" si="16"/>
        <v>Voiture (seul(e))</v>
      </c>
      <c r="G147" s="587">
        <f t="shared" si="17"/>
        <v>3</v>
      </c>
      <c r="H147" s="587"/>
      <c r="I147" s="587">
        <v>15</v>
      </c>
      <c r="J147" s="587">
        <f t="shared" si="20"/>
        <v>2.7600000000000002</v>
      </c>
      <c r="K147" s="587"/>
      <c r="L147" s="587"/>
      <c r="M147" s="587">
        <f t="shared" si="19"/>
        <v>0</v>
      </c>
      <c r="N147" s="587">
        <f t="shared" si="19"/>
        <v>0</v>
      </c>
      <c r="O147" s="587">
        <f t="shared" si="19"/>
        <v>0</v>
      </c>
      <c r="P147" s="587">
        <f t="shared" si="18"/>
        <v>3</v>
      </c>
    </row>
    <row r="148" spans="2:16">
      <c r="B148" s="587" t="s">
        <v>868</v>
      </c>
      <c r="C148" s="587" t="s">
        <v>869</v>
      </c>
      <c r="D148" s="587" t="s">
        <v>872</v>
      </c>
      <c r="E148" s="587"/>
      <c r="F148" s="587" t="str">
        <f t="shared" si="16"/>
        <v>Vélo personnel (y compris vélo à assistance électrique)</v>
      </c>
      <c r="G148" s="587">
        <f t="shared" si="17"/>
        <v>7</v>
      </c>
      <c r="H148" s="587"/>
      <c r="I148" s="587">
        <v>10</v>
      </c>
      <c r="J148" s="587">
        <f t="shared" si="20"/>
        <v>0</v>
      </c>
      <c r="K148" s="587"/>
      <c r="L148" s="587"/>
      <c r="M148" s="587">
        <f t="shared" si="19"/>
        <v>7</v>
      </c>
      <c r="N148" s="587">
        <f t="shared" si="19"/>
        <v>0</v>
      </c>
      <c r="O148" s="587">
        <f t="shared" si="19"/>
        <v>0</v>
      </c>
      <c r="P148" s="587">
        <f t="shared" si="18"/>
        <v>0</v>
      </c>
    </row>
    <row r="149" spans="2:16">
      <c r="B149" s="587" t="s">
        <v>868</v>
      </c>
      <c r="C149" s="587" t="s">
        <v>869</v>
      </c>
      <c r="D149" s="587" t="s">
        <v>871</v>
      </c>
      <c r="E149" s="587"/>
      <c r="F149" s="587" t="str">
        <f t="shared" si="16"/>
        <v>Marche à pied (exclusivement sur tout le trajet)</v>
      </c>
      <c r="G149" s="587">
        <f t="shared" si="17"/>
        <v>7</v>
      </c>
      <c r="H149" s="587"/>
      <c r="I149" s="587">
        <v>10</v>
      </c>
      <c r="J149" s="587">
        <f t="shared" si="20"/>
        <v>0</v>
      </c>
      <c r="K149" s="587"/>
      <c r="L149" s="587"/>
      <c r="M149" s="587">
        <f t="shared" si="19"/>
        <v>7</v>
      </c>
      <c r="N149" s="587">
        <f t="shared" si="19"/>
        <v>0</v>
      </c>
      <c r="O149" s="587">
        <f t="shared" si="19"/>
        <v>0</v>
      </c>
      <c r="P149" s="587">
        <f t="shared" si="18"/>
        <v>0</v>
      </c>
    </row>
    <row r="150" spans="2:16">
      <c r="B150" s="587" t="s">
        <v>868</v>
      </c>
      <c r="C150" s="587" t="s">
        <v>882</v>
      </c>
      <c r="D150" s="587" t="s">
        <v>884</v>
      </c>
      <c r="E150" s="587"/>
      <c r="F150" s="587" t="str">
        <f t="shared" si="16"/>
        <v>Deux roues motorisées (moto, scooter, mobylette,…)</v>
      </c>
      <c r="G150" s="587">
        <f t="shared" si="17"/>
        <v>5</v>
      </c>
      <c r="H150" s="587"/>
      <c r="I150" s="587">
        <v>8</v>
      </c>
      <c r="J150" s="587">
        <f t="shared" si="20"/>
        <v>1.288</v>
      </c>
      <c r="K150" s="587"/>
      <c r="L150" s="587"/>
      <c r="M150" s="587">
        <f t="shared" si="19"/>
        <v>0</v>
      </c>
      <c r="N150" s="587">
        <f t="shared" si="19"/>
        <v>0</v>
      </c>
      <c r="O150" s="587">
        <f t="shared" si="19"/>
        <v>5</v>
      </c>
      <c r="P150" s="587">
        <f t="shared" si="18"/>
        <v>0</v>
      </c>
    </row>
    <row r="151" spans="2:16">
      <c r="B151" s="587" t="s">
        <v>868</v>
      </c>
      <c r="C151" s="587" t="s">
        <v>882</v>
      </c>
      <c r="D151" s="587" t="s">
        <v>879</v>
      </c>
      <c r="E151" s="587"/>
      <c r="F151" s="587" t="str">
        <f t="shared" si="16"/>
        <v>Voiture (seul(e))</v>
      </c>
      <c r="G151" s="587">
        <f t="shared" si="17"/>
        <v>3</v>
      </c>
      <c r="H151" s="587"/>
      <c r="I151" s="587">
        <v>15</v>
      </c>
      <c r="J151" s="587">
        <f t="shared" si="20"/>
        <v>2.7600000000000002</v>
      </c>
      <c r="K151" s="587"/>
      <c r="L151" s="587"/>
      <c r="M151" s="587">
        <f t="shared" si="19"/>
        <v>0</v>
      </c>
      <c r="N151" s="587">
        <f t="shared" si="19"/>
        <v>0</v>
      </c>
      <c r="O151" s="587">
        <f t="shared" si="19"/>
        <v>3</v>
      </c>
      <c r="P151" s="587">
        <f t="shared" si="18"/>
        <v>0</v>
      </c>
    </row>
    <row r="152" spans="2:16">
      <c r="B152" s="587" t="s">
        <v>868</v>
      </c>
      <c r="C152" s="587" t="s">
        <v>869</v>
      </c>
      <c r="D152" s="587" t="s">
        <v>871</v>
      </c>
      <c r="E152" s="587"/>
      <c r="F152" s="587" t="str">
        <f t="shared" si="16"/>
        <v>Marche à pied (exclusivement sur tout le trajet)</v>
      </c>
      <c r="G152" s="587">
        <f t="shared" si="17"/>
        <v>7</v>
      </c>
      <c r="H152" s="587"/>
      <c r="I152" s="587">
        <v>10</v>
      </c>
      <c r="J152" s="587">
        <f t="shared" si="20"/>
        <v>0</v>
      </c>
      <c r="K152" s="587"/>
      <c r="L152" s="587"/>
      <c r="M152" s="587">
        <f t="shared" si="19"/>
        <v>7</v>
      </c>
      <c r="N152" s="587">
        <f t="shared" si="19"/>
        <v>0</v>
      </c>
      <c r="O152" s="587">
        <f t="shared" si="19"/>
        <v>0</v>
      </c>
      <c r="P152" s="587">
        <f t="shared" si="18"/>
        <v>0</v>
      </c>
    </row>
    <row r="153" spans="2:16">
      <c r="B153" s="587" t="s">
        <v>868</v>
      </c>
      <c r="C153" s="587" t="s">
        <v>869</v>
      </c>
      <c r="D153" s="587" t="s">
        <v>871</v>
      </c>
      <c r="E153" s="587"/>
      <c r="F153" s="587" t="str">
        <f t="shared" si="16"/>
        <v>Marche à pied (exclusivement sur tout le trajet)</v>
      </c>
      <c r="G153" s="587">
        <f t="shared" si="17"/>
        <v>7</v>
      </c>
      <c r="H153" s="587"/>
      <c r="I153" s="587">
        <v>10</v>
      </c>
      <c r="J153" s="587">
        <f t="shared" si="20"/>
        <v>0</v>
      </c>
      <c r="K153" s="587"/>
      <c r="L153" s="587"/>
      <c r="M153" s="587">
        <f t="shared" si="19"/>
        <v>7</v>
      </c>
      <c r="N153" s="587">
        <f t="shared" si="19"/>
        <v>0</v>
      </c>
      <c r="O153" s="587">
        <f t="shared" si="19"/>
        <v>0</v>
      </c>
      <c r="P153" s="587">
        <f t="shared" si="18"/>
        <v>0</v>
      </c>
    </row>
    <row r="154" spans="2:16">
      <c r="B154" s="587" t="s">
        <v>868</v>
      </c>
      <c r="C154" s="587" t="s">
        <v>882</v>
      </c>
      <c r="D154" s="587" t="s">
        <v>873</v>
      </c>
      <c r="E154" s="587"/>
      <c r="F154" s="587" t="str">
        <f t="shared" si="16"/>
        <v>Tramway</v>
      </c>
      <c r="G154" s="587">
        <f t="shared" si="17"/>
        <v>1</v>
      </c>
      <c r="H154" s="587"/>
      <c r="I154" s="587">
        <v>40</v>
      </c>
      <c r="J154" s="587">
        <f t="shared" si="20"/>
        <v>4.8833333333333326E-2</v>
      </c>
      <c r="K154" s="587"/>
      <c r="L154" s="587"/>
      <c r="M154" s="587">
        <f t="shared" si="19"/>
        <v>0</v>
      </c>
      <c r="N154" s="587">
        <f t="shared" si="19"/>
        <v>0</v>
      </c>
      <c r="O154" s="587">
        <f t="shared" si="19"/>
        <v>1</v>
      </c>
      <c r="P154" s="587">
        <f t="shared" si="18"/>
        <v>0</v>
      </c>
    </row>
    <row r="155" spans="2:16">
      <c r="B155" s="587" t="s">
        <v>868</v>
      </c>
      <c r="C155" s="587" t="s">
        <v>882</v>
      </c>
      <c r="D155" s="587" t="s">
        <v>879</v>
      </c>
      <c r="E155" s="587"/>
      <c r="F155" s="587" t="str">
        <f t="shared" si="16"/>
        <v>Voiture (seul(e))</v>
      </c>
      <c r="G155" s="587">
        <f t="shared" si="17"/>
        <v>3</v>
      </c>
      <c r="H155" s="587"/>
      <c r="I155" s="587">
        <v>45</v>
      </c>
      <c r="J155" s="587">
        <f t="shared" si="20"/>
        <v>2.7600000000000002</v>
      </c>
      <c r="K155" s="587"/>
      <c r="L155" s="587"/>
      <c r="M155" s="587">
        <f t="shared" si="19"/>
        <v>0</v>
      </c>
      <c r="N155" s="587">
        <f t="shared" si="19"/>
        <v>0</v>
      </c>
      <c r="O155" s="587">
        <f t="shared" si="19"/>
        <v>3</v>
      </c>
      <c r="P155" s="587">
        <f t="shared" si="18"/>
        <v>0</v>
      </c>
    </row>
    <row r="156" spans="2:16">
      <c r="B156" s="587" t="s">
        <v>868</v>
      </c>
      <c r="C156" s="587" t="s">
        <v>869</v>
      </c>
      <c r="D156" s="587" t="s">
        <v>871</v>
      </c>
      <c r="E156" s="587"/>
      <c r="F156" s="587" t="str">
        <f t="shared" si="16"/>
        <v>Marche à pied (exclusivement sur tout le trajet)</v>
      </c>
      <c r="G156" s="587">
        <f t="shared" si="17"/>
        <v>7</v>
      </c>
      <c r="H156" s="587"/>
      <c r="I156" s="587">
        <v>10</v>
      </c>
      <c r="J156" s="587">
        <f t="shared" ref="J156:J174" si="21">IF(G156=1,$C$6*($I$28*$K$6)/$J$6,IF(G156=2,$C$7*($I$28*$K$7)/$J$7,IF(G156=3,$C$8*$I$28*$K$8/$J$8,IF(G156=4,$C$9*$I$28*$K$9/$J$9,IF(G156=5,$C$10*$I$28*$K$10/$J$10,IF(G156=6,$C$11*$K$11*$I$28/$J$11,0))))))</f>
        <v>0</v>
      </c>
      <c r="K156" s="587"/>
      <c r="L156" s="587"/>
      <c r="M156" s="587">
        <f t="shared" si="19"/>
        <v>7</v>
      </c>
      <c r="N156" s="587">
        <f t="shared" si="19"/>
        <v>0</v>
      </c>
      <c r="O156" s="587">
        <f t="shared" si="19"/>
        <v>0</v>
      </c>
      <c r="P156" s="587">
        <f t="shared" si="18"/>
        <v>0</v>
      </c>
    </row>
    <row r="157" spans="2:16">
      <c r="B157" s="587" t="s">
        <v>868</v>
      </c>
      <c r="C157" s="587" t="s">
        <v>869</v>
      </c>
      <c r="D157" s="587" t="s">
        <v>873</v>
      </c>
      <c r="E157" s="587"/>
      <c r="F157" s="587" t="str">
        <f t="shared" ref="F157:F174" si="22">IF(D157="",E157,D157)</f>
        <v>Tramway</v>
      </c>
      <c r="G157" s="587">
        <f t="shared" ref="G157:G174" si="23">IF(F157="Métro",1,IF(F157="Tramway",1,IF(F157="Vélo'v",7,IF(F157="Marche à pied (exclusivement sur tout le trajet)",7,IF(F157="Vélo personnel (y compris vélo à assistance électrique)",7,IF(F157="Trottinette, roller, skateboard,…",7,IF(F157="Marche à pied au-delà de 5 minutes",7,IF(F157="Voiture (seul(e))",3,IF(F157="Bus",2,IF(F157="Trottinette, roller, skateboard au-delà de 5 minutes",7,IF(F157="Covoiturage (passager(ère))",4,IF(F157="Trottinette, roller, skateboard,...",7,IF(F157="Vélo’v",7,IF(F157="Train (TER,TGV,...)",6,IF(F157="Deux roues motorisées (moto, scooter, mobylette,…)",5,IF(F157="Covoiturage (conducteur(trice))",4,IF(F157="Train (TER,..)",6,0)))))))))))))))))</f>
        <v>1</v>
      </c>
      <c r="H157" s="587"/>
      <c r="I157" s="587">
        <v>20</v>
      </c>
      <c r="J157" s="587">
        <f t="shared" si="21"/>
        <v>4.8833333333333326E-2</v>
      </c>
      <c r="K157" s="587"/>
      <c r="L157" s="587"/>
      <c r="M157" s="587">
        <f t="shared" si="19"/>
        <v>1</v>
      </c>
      <c r="N157" s="587">
        <f t="shared" si="19"/>
        <v>0</v>
      </c>
      <c r="O157" s="587">
        <f t="shared" si="19"/>
        <v>0</v>
      </c>
      <c r="P157" s="587">
        <f t="shared" si="18"/>
        <v>0</v>
      </c>
    </row>
    <row r="158" spans="2:16">
      <c r="B158" s="587" t="s">
        <v>868</v>
      </c>
      <c r="C158" s="587" t="s">
        <v>882</v>
      </c>
      <c r="D158" s="587" t="s">
        <v>879</v>
      </c>
      <c r="E158" s="587"/>
      <c r="F158" s="587" t="str">
        <f t="shared" si="22"/>
        <v>Voiture (seul(e))</v>
      </c>
      <c r="G158" s="587">
        <f t="shared" si="23"/>
        <v>3</v>
      </c>
      <c r="H158" s="587"/>
      <c r="I158" s="587">
        <v>30</v>
      </c>
      <c r="J158" s="587">
        <f t="shared" si="21"/>
        <v>2.7600000000000002</v>
      </c>
      <c r="K158" s="587"/>
      <c r="L158" s="587"/>
      <c r="M158" s="587">
        <f t="shared" ref="M158:P221" si="24">IF($C158=M$27,$G158,0)</f>
        <v>0</v>
      </c>
      <c r="N158" s="587">
        <f t="shared" si="24"/>
        <v>0</v>
      </c>
      <c r="O158" s="587">
        <f t="shared" si="24"/>
        <v>3</v>
      </c>
      <c r="P158" s="587">
        <f t="shared" si="18"/>
        <v>0</v>
      </c>
    </row>
    <row r="159" spans="2:16">
      <c r="B159" s="587" t="s">
        <v>868</v>
      </c>
      <c r="C159" s="587" t="s">
        <v>869</v>
      </c>
      <c r="D159" s="587" t="s">
        <v>872</v>
      </c>
      <c r="E159" s="587"/>
      <c r="F159" s="587" t="str">
        <f t="shared" si="22"/>
        <v>Vélo personnel (y compris vélo à assistance électrique)</v>
      </c>
      <c r="G159" s="587">
        <f t="shared" si="23"/>
        <v>7</v>
      </c>
      <c r="H159" s="587"/>
      <c r="I159" s="587">
        <v>7</v>
      </c>
      <c r="J159" s="587">
        <f t="shared" si="21"/>
        <v>0</v>
      </c>
      <c r="K159" s="587"/>
      <c r="L159" s="587"/>
      <c r="M159" s="587">
        <f t="shared" si="24"/>
        <v>7</v>
      </c>
      <c r="N159" s="587">
        <f t="shared" si="24"/>
        <v>0</v>
      </c>
      <c r="O159" s="587">
        <f t="shared" si="24"/>
        <v>0</v>
      </c>
      <c r="P159" s="587">
        <f t="shared" si="18"/>
        <v>0</v>
      </c>
    </row>
    <row r="160" spans="2:16">
      <c r="B160" s="587" t="s">
        <v>868</v>
      </c>
      <c r="C160" s="587" t="s">
        <v>875</v>
      </c>
      <c r="D160" s="587"/>
      <c r="E160" s="587" t="s">
        <v>878</v>
      </c>
      <c r="F160" s="587" t="str">
        <f t="shared" si="22"/>
        <v>Marche à pied au-delà de 5 minutes</v>
      </c>
      <c r="G160" s="587">
        <f t="shared" si="23"/>
        <v>7</v>
      </c>
      <c r="H160" s="587"/>
      <c r="I160" s="587">
        <v>30</v>
      </c>
      <c r="J160" s="587">
        <f t="shared" si="21"/>
        <v>0</v>
      </c>
      <c r="K160" s="587"/>
      <c r="L160" s="587"/>
      <c r="M160" s="587">
        <f t="shared" si="24"/>
        <v>0</v>
      </c>
      <c r="N160" s="587">
        <f t="shared" si="24"/>
        <v>7</v>
      </c>
      <c r="O160" s="587">
        <f t="shared" si="24"/>
        <v>0</v>
      </c>
      <c r="P160" s="587">
        <f t="shared" si="18"/>
        <v>0</v>
      </c>
    </row>
    <row r="161" spans="2:16">
      <c r="B161" s="587" t="s">
        <v>868</v>
      </c>
      <c r="C161" s="587" t="s">
        <v>882</v>
      </c>
      <c r="D161" s="587" t="s">
        <v>879</v>
      </c>
      <c r="E161" s="587"/>
      <c r="F161" s="587" t="str">
        <f t="shared" si="22"/>
        <v>Voiture (seul(e))</v>
      </c>
      <c r="G161" s="587">
        <f t="shared" si="23"/>
        <v>3</v>
      </c>
      <c r="H161" s="587"/>
      <c r="I161" s="587">
        <v>25</v>
      </c>
      <c r="J161" s="587">
        <f t="shared" si="21"/>
        <v>2.7600000000000002</v>
      </c>
      <c r="K161" s="587"/>
      <c r="L161" s="587"/>
      <c r="M161" s="587">
        <f t="shared" si="24"/>
        <v>0</v>
      </c>
      <c r="N161" s="587">
        <f t="shared" si="24"/>
        <v>0</v>
      </c>
      <c r="O161" s="587">
        <f t="shared" si="24"/>
        <v>3</v>
      </c>
      <c r="P161" s="587">
        <f t="shared" si="18"/>
        <v>0</v>
      </c>
    </row>
    <row r="162" spans="2:16">
      <c r="B162" s="587" t="s">
        <v>868</v>
      </c>
      <c r="C162" s="587" t="s">
        <v>869</v>
      </c>
      <c r="D162" s="587" t="s">
        <v>873</v>
      </c>
      <c r="E162" s="587"/>
      <c r="F162" s="587" t="str">
        <f t="shared" si="22"/>
        <v>Tramway</v>
      </c>
      <c r="G162" s="587">
        <f t="shared" si="23"/>
        <v>1</v>
      </c>
      <c r="H162" s="587"/>
      <c r="I162" s="587">
        <v>10</v>
      </c>
      <c r="J162" s="587">
        <f t="shared" si="21"/>
        <v>4.8833333333333326E-2</v>
      </c>
      <c r="K162" s="587"/>
      <c r="L162" s="587"/>
      <c r="M162" s="587">
        <f t="shared" si="24"/>
        <v>1</v>
      </c>
      <c r="N162" s="587">
        <f t="shared" si="24"/>
        <v>0</v>
      </c>
      <c r="O162" s="587">
        <f t="shared" si="24"/>
        <v>0</v>
      </c>
      <c r="P162" s="587">
        <f t="shared" si="18"/>
        <v>0</v>
      </c>
    </row>
    <row r="163" spans="2:16">
      <c r="B163" s="587" t="s">
        <v>868</v>
      </c>
      <c r="C163" s="587" t="s">
        <v>875</v>
      </c>
      <c r="D163" s="587"/>
      <c r="E163" s="587" t="s">
        <v>848</v>
      </c>
      <c r="F163" s="587" t="str">
        <f t="shared" si="22"/>
        <v>Bus</v>
      </c>
      <c r="G163" s="587">
        <f t="shared" si="23"/>
        <v>2</v>
      </c>
      <c r="H163" s="587"/>
      <c r="I163" s="587">
        <v>15</v>
      </c>
      <c r="J163" s="587">
        <f t="shared" si="21"/>
        <v>1.29</v>
      </c>
      <c r="K163" s="587"/>
      <c r="L163" s="587"/>
      <c r="M163" s="587">
        <f t="shared" si="24"/>
        <v>0</v>
      </c>
      <c r="N163" s="587">
        <f t="shared" si="24"/>
        <v>2</v>
      </c>
      <c r="O163" s="587">
        <f t="shared" si="24"/>
        <v>0</v>
      </c>
      <c r="P163" s="587">
        <f t="shared" si="18"/>
        <v>0</v>
      </c>
    </row>
    <row r="164" spans="2:16">
      <c r="B164" s="587" t="s">
        <v>868</v>
      </c>
      <c r="C164" s="587" t="s">
        <v>869</v>
      </c>
      <c r="D164" s="587"/>
      <c r="E164" s="587" t="s">
        <v>879</v>
      </c>
      <c r="F164" s="587" t="str">
        <f t="shared" si="22"/>
        <v>Voiture (seul(e))</v>
      </c>
      <c r="G164" s="587">
        <f t="shared" si="23"/>
        <v>3</v>
      </c>
      <c r="H164" s="587"/>
      <c r="I164" s="587">
        <v>10</v>
      </c>
      <c r="J164" s="587">
        <f t="shared" si="21"/>
        <v>2.7600000000000002</v>
      </c>
      <c r="K164" s="587"/>
      <c r="L164" s="587"/>
      <c r="M164" s="587">
        <f t="shared" si="24"/>
        <v>3</v>
      </c>
      <c r="N164" s="587">
        <f t="shared" si="24"/>
        <v>0</v>
      </c>
      <c r="O164" s="587">
        <f t="shared" si="24"/>
        <v>0</v>
      </c>
      <c r="P164" s="587">
        <f t="shared" si="18"/>
        <v>0</v>
      </c>
    </row>
    <row r="165" spans="2:16">
      <c r="B165" s="587" t="s">
        <v>868</v>
      </c>
      <c r="C165" s="587" t="s">
        <v>882</v>
      </c>
      <c r="D165" s="587" t="s">
        <v>879</v>
      </c>
      <c r="E165" s="587"/>
      <c r="F165" s="587" t="str">
        <f t="shared" si="22"/>
        <v>Voiture (seul(e))</v>
      </c>
      <c r="G165" s="587">
        <f t="shared" si="23"/>
        <v>3</v>
      </c>
      <c r="H165" s="587"/>
      <c r="I165" s="587">
        <v>90</v>
      </c>
      <c r="J165" s="587">
        <f t="shared" si="21"/>
        <v>2.7600000000000002</v>
      </c>
      <c r="K165" s="587"/>
      <c r="L165" s="587"/>
      <c r="M165" s="587">
        <f t="shared" si="24"/>
        <v>0</v>
      </c>
      <c r="N165" s="587">
        <f t="shared" si="24"/>
        <v>0</v>
      </c>
      <c r="O165" s="587">
        <f t="shared" si="24"/>
        <v>3</v>
      </c>
      <c r="P165" s="587">
        <f t="shared" si="18"/>
        <v>0</v>
      </c>
    </row>
    <row r="166" spans="2:16">
      <c r="B166" s="587" t="s">
        <v>868</v>
      </c>
      <c r="C166" s="587" t="s">
        <v>869</v>
      </c>
      <c r="D166" s="587"/>
      <c r="E166" s="587" t="s">
        <v>870</v>
      </c>
      <c r="F166" s="587" t="str">
        <f t="shared" si="22"/>
        <v>Métro</v>
      </c>
      <c r="G166" s="587">
        <f t="shared" si="23"/>
        <v>1</v>
      </c>
      <c r="H166" s="587"/>
      <c r="I166" s="587">
        <v>15</v>
      </c>
      <c r="J166" s="587">
        <f t="shared" si="21"/>
        <v>4.8833333333333326E-2</v>
      </c>
      <c r="K166" s="587"/>
      <c r="L166" s="587"/>
      <c r="M166" s="587">
        <f t="shared" si="24"/>
        <v>1</v>
      </c>
      <c r="N166" s="587">
        <f t="shared" si="24"/>
        <v>0</v>
      </c>
      <c r="O166" s="587">
        <f t="shared" si="24"/>
        <v>0</v>
      </c>
      <c r="P166" s="587">
        <f t="shared" si="18"/>
        <v>0</v>
      </c>
    </row>
    <row r="167" spans="2:16">
      <c r="B167" s="587" t="s">
        <v>868</v>
      </c>
      <c r="C167" s="587" t="s">
        <v>882</v>
      </c>
      <c r="D167" s="587" t="s">
        <v>873</v>
      </c>
      <c r="E167" s="587"/>
      <c r="F167" s="587" t="str">
        <f t="shared" si="22"/>
        <v>Tramway</v>
      </c>
      <c r="G167" s="587">
        <f t="shared" si="23"/>
        <v>1</v>
      </c>
      <c r="H167" s="587"/>
      <c r="I167" s="587">
        <v>30</v>
      </c>
      <c r="J167" s="587">
        <f t="shared" si="21"/>
        <v>4.8833333333333326E-2</v>
      </c>
      <c r="K167" s="587"/>
      <c r="L167" s="587"/>
      <c r="M167" s="587">
        <f t="shared" si="24"/>
        <v>0</v>
      </c>
      <c r="N167" s="587">
        <f t="shared" si="24"/>
        <v>0</v>
      </c>
      <c r="O167" s="587">
        <f t="shared" si="24"/>
        <v>1</v>
      </c>
      <c r="P167" s="587">
        <f t="shared" si="18"/>
        <v>0</v>
      </c>
    </row>
    <row r="168" spans="2:16">
      <c r="B168" s="587" t="s">
        <v>868</v>
      </c>
      <c r="C168" s="587" t="s">
        <v>882</v>
      </c>
      <c r="D168" s="587" t="s">
        <v>871</v>
      </c>
      <c r="E168" s="587"/>
      <c r="F168" s="587" t="str">
        <f t="shared" si="22"/>
        <v>Marche à pied (exclusivement sur tout le trajet)</v>
      </c>
      <c r="G168" s="587">
        <f t="shared" si="23"/>
        <v>7</v>
      </c>
      <c r="H168" s="587"/>
      <c r="I168" s="587">
        <v>1</v>
      </c>
      <c r="J168" s="587">
        <f t="shared" si="21"/>
        <v>0</v>
      </c>
      <c r="K168" s="587"/>
      <c r="L168" s="587"/>
      <c r="M168" s="587">
        <f t="shared" si="24"/>
        <v>0</v>
      </c>
      <c r="N168" s="587">
        <f t="shared" si="24"/>
        <v>0</v>
      </c>
      <c r="O168" s="587">
        <f t="shared" si="24"/>
        <v>7</v>
      </c>
      <c r="P168" s="587">
        <f t="shared" si="18"/>
        <v>0</v>
      </c>
    </row>
    <row r="169" spans="2:16">
      <c r="B169" s="587" t="s">
        <v>868</v>
      </c>
      <c r="C169" s="587" t="s">
        <v>882</v>
      </c>
      <c r="D169" s="587" t="s">
        <v>879</v>
      </c>
      <c r="E169" s="587"/>
      <c r="F169" s="587" t="str">
        <f t="shared" si="22"/>
        <v>Voiture (seul(e))</v>
      </c>
      <c r="G169" s="587">
        <f t="shared" si="23"/>
        <v>3</v>
      </c>
      <c r="H169" s="587"/>
      <c r="I169" s="587">
        <v>40</v>
      </c>
      <c r="J169" s="587">
        <f t="shared" si="21"/>
        <v>2.7600000000000002</v>
      </c>
      <c r="K169" s="587"/>
      <c r="L169" s="587"/>
      <c r="M169" s="587">
        <f t="shared" si="24"/>
        <v>0</v>
      </c>
      <c r="N169" s="587">
        <f t="shared" si="24"/>
        <v>0</v>
      </c>
      <c r="O169" s="587">
        <f t="shared" si="24"/>
        <v>3</v>
      </c>
      <c r="P169" s="587">
        <f t="shared" si="18"/>
        <v>0</v>
      </c>
    </row>
    <row r="170" spans="2:16">
      <c r="B170" s="587" t="s">
        <v>868</v>
      </c>
      <c r="C170" s="587" t="s">
        <v>882</v>
      </c>
      <c r="D170" s="587" t="s">
        <v>879</v>
      </c>
      <c r="E170" s="587"/>
      <c r="F170" s="587" t="str">
        <f t="shared" si="22"/>
        <v>Voiture (seul(e))</v>
      </c>
      <c r="G170" s="587">
        <f t="shared" si="23"/>
        <v>3</v>
      </c>
      <c r="H170" s="587"/>
      <c r="I170" s="587">
        <v>35</v>
      </c>
      <c r="J170" s="587">
        <f t="shared" si="21"/>
        <v>2.7600000000000002</v>
      </c>
      <c r="K170" s="587"/>
      <c r="L170" s="587"/>
      <c r="M170" s="587">
        <f t="shared" si="24"/>
        <v>0</v>
      </c>
      <c r="N170" s="587">
        <f t="shared" si="24"/>
        <v>0</v>
      </c>
      <c r="O170" s="587">
        <f t="shared" si="24"/>
        <v>3</v>
      </c>
      <c r="P170" s="587">
        <f t="shared" si="18"/>
        <v>0</v>
      </c>
    </row>
    <row r="171" spans="2:16">
      <c r="B171" s="587" t="s">
        <v>868</v>
      </c>
      <c r="C171" s="587" t="s">
        <v>882</v>
      </c>
      <c r="D171" s="587"/>
      <c r="E171" s="587" t="s">
        <v>879</v>
      </c>
      <c r="F171" s="587" t="str">
        <f t="shared" si="22"/>
        <v>Voiture (seul(e))</v>
      </c>
      <c r="G171" s="587">
        <f t="shared" si="23"/>
        <v>3</v>
      </c>
      <c r="H171" s="587"/>
      <c r="I171" s="587">
        <v>80</v>
      </c>
      <c r="J171" s="587">
        <f t="shared" si="21"/>
        <v>2.7600000000000002</v>
      </c>
      <c r="K171" s="587"/>
      <c r="L171" s="587"/>
      <c r="M171" s="587">
        <f t="shared" si="24"/>
        <v>0</v>
      </c>
      <c r="N171" s="587">
        <f t="shared" si="24"/>
        <v>0</v>
      </c>
      <c r="O171" s="587">
        <f t="shared" si="24"/>
        <v>3</v>
      </c>
      <c r="P171" s="587">
        <f t="shared" si="18"/>
        <v>0</v>
      </c>
    </row>
    <row r="172" spans="2:16">
      <c r="B172" s="587" t="s">
        <v>868</v>
      </c>
      <c r="C172" s="587" t="s">
        <v>882</v>
      </c>
      <c r="D172" s="587" t="s">
        <v>877</v>
      </c>
      <c r="E172" s="587"/>
      <c r="F172" s="587" t="str">
        <f t="shared" si="22"/>
        <v>Vélo’v</v>
      </c>
      <c r="G172" s="587">
        <f t="shared" si="23"/>
        <v>7</v>
      </c>
      <c r="H172" s="587"/>
      <c r="I172" s="587">
        <v>15</v>
      </c>
      <c r="J172" s="587">
        <f t="shared" si="21"/>
        <v>0</v>
      </c>
      <c r="K172" s="587"/>
      <c r="L172" s="587"/>
      <c r="M172" s="587">
        <f t="shared" si="24"/>
        <v>0</v>
      </c>
      <c r="N172" s="587">
        <f t="shared" si="24"/>
        <v>0</v>
      </c>
      <c r="O172" s="587">
        <f t="shared" si="24"/>
        <v>7</v>
      </c>
      <c r="P172" s="587">
        <f t="shared" si="18"/>
        <v>0</v>
      </c>
    </row>
    <row r="173" spans="2:16">
      <c r="B173" s="587" t="s">
        <v>868</v>
      </c>
      <c r="C173" s="587" t="s">
        <v>882</v>
      </c>
      <c r="D173" s="587" t="s">
        <v>870</v>
      </c>
      <c r="E173" s="587"/>
      <c r="F173" s="587" t="str">
        <f t="shared" si="22"/>
        <v>Métro</v>
      </c>
      <c r="G173" s="587">
        <f t="shared" si="23"/>
        <v>1</v>
      </c>
      <c r="H173" s="587"/>
      <c r="I173" s="587">
        <v>45</v>
      </c>
      <c r="J173" s="587">
        <f t="shared" si="21"/>
        <v>4.8833333333333326E-2</v>
      </c>
      <c r="K173" s="587"/>
      <c r="L173" s="587"/>
      <c r="M173" s="587">
        <f t="shared" si="24"/>
        <v>0</v>
      </c>
      <c r="N173" s="587">
        <f t="shared" si="24"/>
        <v>0</v>
      </c>
      <c r="O173" s="587">
        <f t="shared" si="24"/>
        <v>1</v>
      </c>
      <c r="P173" s="587">
        <f t="shared" si="18"/>
        <v>0</v>
      </c>
    </row>
    <row r="174" spans="2:16">
      <c r="B174" s="587" t="s">
        <v>868</v>
      </c>
      <c r="C174" s="587" t="s">
        <v>882</v>
      </c>
      <c r="D174" s="587" t="s">
        <v>879</v>
      </c>
      <c r="E174" s="587"/>
      <c r="F174" s="587" t="str">
        <f t="shared" si="22"/>
        <v>Voiture (seul(e))</v>
      </c>
      <c r="G174" s="587">
        <f t="shared" si="23"/>
        <v>3</v>
      </c>
      <c r="H174" s="587"/>
      <c r="I174" s="587">
        <v>45</v>
      </c>
      <c r="J174" s="587">
        <f t="shared" si="21"/>
        <v>2.7600000000000002</v>
      </c>
      <c r="K174" s="587"/>
      <c r="L174" s="587"/>
      <c r="M174" s="587">
        <f t="shared" si="24"/>
        <v>0</v>
      </c>
      <c r="N174" s="587">
        <f t="shared" si="24"/>
        <v>0</v>
      </c>
      <c r="O174" s="587">
        <f t="shared" si="24"/>
        <v>3</v>
      </c>
      <c r="P174" s="587">
        <f t="shared" si="18"/>
        <v>0</v>
      </c>
    </row>
    <row r="175" spans="2:16">
      <c r="B175" s="587" t="s">
        <v>35</v>
      </c>
      <c r="C175" s="587" t="s">
        <v>35</v>
      </c>
      <c r="D175" s="587"/>
      <c r="E175" s="587" t="s">
        <v>878</v>
      </c>
      <c r="F175" s="587"/>
      <c r="G175" s="587"/>
      <c r="H175" s="587"/>
      <c r="I175" s="587">
        <v>40</v>
      </c>
      <c r="J175" s="587"/>
      <c r="K175" s="587"/>
      <c r="L175" s="587"/>
      <c r="M175" s="587">
        <f t="shared" si="24"/>
        <v>0</v>
      </c>
      <c r="N175" s="587">
        <f t="shared" si="24"/>
        <v>0</v>
      </c>
      <c r="O175" s="587">
        <f t="shared" si="24"/>
        <v>0</v>
      </c>
      <c r="P175" s="587">
        <f t="shared" si="18"/>
        <v>0</v>
      </c>
    </row>
    <row r="176" spans="2:16">
      <c r="B176" s="587" t="s">
        <v>868</v>
      </c>
      <c r="C176" s="587" t="s">
        <v>869</v>
      </c>
      <c r="D176" s="587" t="s">
        <v>871</v>
      </c>
      <c r="E176" s="587"/>
      <c r="F176" s="587" t="str">
        <f t="shared" ref="F176:F239" si="25">IF(D176="",E176,D176)</f>
        <v>Marche à pied (exclusivement sur tout le trajet)</v>
      </c>
      <c r="G176" s="587">
        <f t="shared" ref="G176:G239" si="26">IF(F176="Métro",1,IF(F176="Tramway",1,IF(F176="Vélo'v",7,IF(F176="Marche à pied (exclusivement sur tout le trajet)",7,IF(F176="Vélo personnel (y compris vélo à assistance électrique)",7,IF(F176="Trottinette, roller, skateboard,…",7,IF(F176="Marche à pied au-delà de 5 minutes",7,IF(F176="Voiture (seul(e))",3,IF(F176="Bus",2,IF(F176="Trottinette, roller, skateboard au-delà de 5 minutes",7,IF(F176="Covoiturage (passager(ère))",4,IF(F176="Trottinette, roller, skateboard,...",7,IF(F176="Vélo’v",7,IF(F176="Train (TER,TGV,...)",6,IF(F176="Deux roues motorisées (moto, scooter, mobylette,…)",5,IF(F176="Covoiturage (conducteur(trice))",4,IF(F176="Train (TER,..)",6,0)))))))))))))))))</f>
        <v>7</v>
      </c>
      <c r="H176" s="587"/>
      <c r="I176" s="587">
        <v>3</v>
      </c>
      <c r="J176" s="587">
        <f t="shared" ref="J176:J239" si="27">IF(G176=1,$C$6*($I$28*$K$6)/$J$6,IF(G176=2,$C$7*($I$28*$K$7)/$J$7,IF(G176=3,$C$8*$I$28*$K$8/$J$8,IF(G176=4,$C$9*$I$28*$K$9/$J$9,IF(G176=5,$C$10*$I$28*$K$10/$J$10,IF(G176=6,$C$11*$K$11*$I$28/$J$11,0))))))</f>
        <v>0</v>
      </c>
      <c r="K176" s="587"/>
      <c r="L176" s="587"/>
      <c r="M176" s="587">
        <f t="shared" si="24"/>
        <v>7</v>
      </c>
      <c r="N176" s="587">
        <f t="shared" si="24"/>
        <v>0</v>
      </c>
      <c r="O176" s="587">
        <f t="shared" si="24"/>
        <v>0</v>
      </c>
      <c r="P176" s="587">
        <f t="shared" si="18"/>
        <v>0</v>
      </c>
    </row>
    <row r="177" spans="2:16">
      <c r="B177" s="587" t="s">
        <v>868</v>
      </c>
      <c r="C177" s="587" t="s">
        <v>869</v>
      </c>
      <c r="D177" s="587" t="s">
        <v>871</v>
      </c>
      <c r="E177" s="587"/>
      <c r="F177" s="587" t="str">
        <f t="shared" si="25"/>
        <v>Marche à pied (exclusivement sur tout le trajet)</v>
      </c>
      <c r="G177" s="587">
        <f t="shared" si="26"/>
        <v>7</v>
      </c>
      <c r="H177" s="587"/>
      <c r="I177" s="587">
        <v>15</v>
      </c>
      <c r="J177" s="587">
        <f t="shared" si="27"/>
        <v>0</v>
      </c>
      <c r="K177" s="587"/>
      <c r="L177" s="587"/>
      <c r="M177" s="587">
        <f t="shared" si="24"/>
        <v>7</v>
      </c>
      <c r="N177" s="587">
        <f t="shared" si="24"/>
        <v>0</v>
      </c>
      <c r="O177" s="587">
        <f t="shared" si="24"/>
        <v>0</v>
      </c>
      <c r="P177" s="587">
        <f t="shared" si="18"/>
        <v>0</v>
      </c>
    </row>
    <row r="178" spans="2:16">
      <c r="B178" s="587" t="s">
        <v>868</v>
      </c>
      <c r="C178" s="587" t="s">
        <v>869</v>
      </c>
      <c r="D178" s="587"/>
      <c r="E178" s="587" t="s">
        <v>870</v>
      </c>
      <c r="F178" s="587" t="str">
        <f t="shared" si="25"/>
        <v>Métro</v>
      </c>
      <c r="G178" s="587">
        <f t="shared" si="26"/>
        <v>1</v>
      </c>
      <c r="H178" s="587"/>
      <c r="I178" s="587">
        <v>20</v>
      </c>
      <c r="J178" s="587">
        <f t="shared" si="27"/>
        <v>4.8833333333333326E-2</v>
      </c>
      <c r="K178" s="587"/>
      <c r="L178" s="587"/>
      <c r="M178" s="587">
        <f t="shared" si="24"/>
        <v>1</v>
      </c>
      <c r="N178" s="587">
        <f t="shared" si="24"/>
        <v>0</v>
      </c>
      <c r="O178" s="587">
        <f t="shared" si="24"/>
        <v>0</v>
      </c>
      <c r="P178" s="587">
        <f t="shared" si="18"/>
        <v>0</v>
      </c>
    </row>
    <row r="179" spans="2:16">
      <c r="B179" s="587" t="s">
        <v>868</v>
      </c>
      <c r="C179" s="587" t="s">
        <v>869</v>
      </c>
      <c r="D179" s="587" t="s">
        <v>871</v>
      </c>
      <c r="E179" s="587"/>
      <c r="F179" s="587" t="str">
        <f t="shared" si="25"/>
        <v>Marche à pied (exclusivement sur tout le trajet)</v>
      </c>
      <c r="G179" s="587">
        <f t="shared" si="26"/>
        <v>7</v>
      </c>
      <c r="H179" s="587"/>
      <c r="I179" s="587">
        <v>1</v>
      </c>
      <c r="J179" s="587">
        <f t="shared" si="27"/>
        <v>0</v>
      </c>
      <c r="K179" s="587"/>
      <c r="L179" s="587"/>
      <c r="M179" s="587">
        <f t="shared" si="24"/>
        <v>7</v>
      </c>
      <c r="N179" s="587">
        <f t="shared" si="24"/>
        <v>0</v>
      </c>
      <c r="O179" s="587">
        <f t="shared" si="24"/>
        <v>0</v>
      </c>
      <c r="P179" s="587">
        <f t="shared" si="18"/>
        <v>0</v>
      </c>
    </row>
    <row r="180" spans="2:16">
      <c r="B180" s="587" t="s">
        <v>868</v>
      </c>
      <c r="C180" s="587" t="s">
        <v>869</v>
      </c>
      <c r="D180" s="587" t="s">
        <v>872</v>
      </c>
      <c r="E180" s="587"/>
      <c r="F180" s="587" t="str">
        <f t="shared" si="25"/>
        <v>Vélo personnel (y compris vélo à assistance électrique)</v>
      </c>
      <c r="G180" s="587">
        <f t="shared" si="26"/>
        <v>7</v>
      </c>
      <c r="H180" s="587"/>
      <c r="I180" s="587">
        <v>30</v>
      </c>
      <c r="J180" s="587">
        <f t="shared" si="27"/>
        <v>0</v>
      </c>
      <c r="K180" s="587"/>
      <c r="L180" s="587"/>
      <c r="M180" s="587">
        <f t="shared" si="24"/>
        <v>7</v>
      </c>
      <c r="N180" s="587">
        <f t="shared" si="24"/>
        <v>0</v>
      </c>
      <c r="O180" s="587">
        <f t="shared" si="24"/>
        <v>0</v>
      </c>
      <c r="P180" s="587">
        <f t="shared" si="24"/>
        <v>0</v>
      </c>
    </row>
    <row r="181" spans="2:16">
      <c r="B181" s="587" t="s">
        <v>868</v>
      </c>
      <c r="C181" s="587" t="s">
        <v>875</v>
      </c>
      <c r="D181" s="587" t="s">
        <v>879</v>
      </c>
      <c r="E181" s="587"/>
      <c r="F181" s="587" t="str">
        <f t="shared" si="25"/>
        <v>Voiture (seul(e))</v>
      </c>
      <c r="G181" s="587">
        <f t="shared" si="26"/>
        <v>3</v>
      </c>
      <c r="H181" s="587"/>
      <c r="I181" s="587">
        <v>35</v>
      </c>
      <c r="J181" s="587">
        <f t="shared" si="27"/>
        <v>2.7600000000000002</v>
      </c>
      <c r="K181" s="587"/>
      <c r="L181" s="587"/>
      <c r="M181" s="587">
        <f t="shared" si="24"/>
        <v>0</v>
      </c>
      <c r="N181" s="587">
        <f t="shared" si="24"/>
        <v>3</v>
      </c>
      <c r="O181" s="587">
        <f t="shared" si="24"/>
        <v>0</v>
      </c>
      <c r="P181" s="587">
        <f t="shared" si="24"/>
        <v>0</v>
      </c>
    </row>
    <row r="182" spans="2:16">
      <c r="B182" s="587" t="s">
        <v>868</v>
      </c>
      <c r="C182" s="587" t="s">
        <v>869</v>
      </c>
      <c r="D182" s="587" t="s">
        <v>872</v>
      </c>
      <c r="E182" s="587"/>
      <c r="F182" s="587" t="str">
        <f t="shared" si="25"/>
        <v>Vélo personnel (y compris vélo à assistance électrique)</v>
      </c>
      <c r="G182" s="587">
        <f t="shared" si="26"/>
        <v>7</v>
      </c>
      <c r="H182" s="587"/>
      <c r="I182" s="587">
        <v>15</v>
      </c>
      <c r="J182" s="587">
        <f t="shared" si="27"/>
        <v>0</v>
      </c>
      <c r="K182" s="587"/>
      <c r="L182" s="587"/>
      <c r="M182" s="587">
        <f t="shared" si="24"/>
        <v>7</v>
      </c>
      <c r="N182" s="587">
        <f t="shared" si="24"/>
        <v>0</v>
      </c>
      <c r="O182" s="587">
        <f t="shared" si="24"/>
        <v>0</v>
      </c>
      <c r="P182" s="587">
        <f t="shared" si="24"/>
        <v>0</v>
      </c>
    </row>
    <row r="183" spans="2:16">
      <c r="B183" s="587" t="s">
        <v>868</v>
      </c>
      <c r="C183" s="587" t="s">
        <v>882</v>
      </c>
      <c r="D183" s="587" t="s">
        <v>871</v>
      </c>
      <c r="E183" s="587"/>
      <c r="F183" s="587" t="str">
        <f t="shared" si="25"/>
        <v>Marche à pied (exclusivement sur tout le trajet)</v>
      </c>
      <c r="G183" s="587">
        <f t="shared" si="26"/>
        <v>7</v>
      </c>
      <c r="H183" s="587"/>
      <c r="I183" s="587">
        <v>15</v>
      </c>
      <c r="J183" s="587">
        <f t="shared" si="27"/>
        <v>0</v>
      </c>
      <c r="K183" s="587"/>
      <c r="L183" s="587"/>
      <c r="M183" s="587">
        <f t="shared" si="24"/>
        <v>0</v>
      </c>
      <c r="N183" s="587">
        <f t="shared" si="24"/>
        <v>0</v>
      </c>
      <c r="O183" s="587">
        <f t="shared" si="24"/>
        <v>7</v>
      </c>
      <c r="P183" s="587">
        <f t="shared" si="24"/>
        <v>0</v>
      </c>
    </row>
    <row r="184" spans="2:16">
      <c r="B184" s="587" t="s">
        <v>868</v>
      </c>
      <c r="C184" s="587" t="s">
        <v>882</v>
      </c>
      <c r="D184" s="587" t="s">
        <v>879</v>
      </c>
      <c r="E184" s="587"/>
      <c r="F184" s="587" t="str">
        <f t="shared" si="25"/>
        <v>Voiture (seul(e))</v>
      </c>
      <c r="G184" s="587">
        <f t="shared" si="26"/>
        <v>3</v>
      </c>
      <c r="H184" s="587"/>
      <c r="I184" s="587">
        <v>45</v>
      </c>
      <c r="J184" s="587">
        <f t="shared" si="27"/>
        <v>2.7600000000000002</v>
      </c>
      <c r="K184" s="587"/>
      <c r="L184" s="587"/>
      <c r="M184" s="587">
        <f t="shared" si="24"/>
        <v>0</v>
      </c>
      <c r="N184" s="587">
        <f t="shared" si="24"/>
        <v>0</v>
      </c>
      <c r="O184" s="587">
        <f t="shared" si="24"/>
        <v>3</v>
      </c>
      <c r="P184" s="587">
        <f t="shared" si="24"/>
        <v>0</v>
      </c>
    </row>
    <row r="185" spans="2:16">
      <c r="B185" s="587" t="s">
        <v>868</v>
      </c>
      <c r="C185" s="587" t="s">
        <v>882</v>
      </c>
      <c r="D185" s="587" t="s">
        <v>879</v>
      </c>
      <c r="E185" s="587"/>
      <c r="F185" s="587" t="str">
        <f t="shared" si="25"/>
        <v>Voiture (seul(e))</v>
      </c>
      <c r="G185" s="587">
        <f t="shared" si="26"/>
        <v>3</v>
      </c>
      <c r="H185" s="587"/>
      <c r="I185" s="587">
        <v>60</v>
      </c>
      <c r="J185" s="587">
        <f t="shared" si="27"/>
        <v>2.7600000000000002</v>
      </c>
      <c r="K185" s="587"/>
      <c r="L185" s="587"/>
      <c r="M185" s="587">
        <f t="shared" si="24"/>
        <v>0</v>
      </c>
      <c r="N185" s="587">
        <f t="shared" si="24"/>
        <v>0</v>
      </c>
      <c r="O185" s="587">
        <f t="shared" si="24"/>
        <v>3</v>
      </c>
      <c r="P185" s="587">
        <f t="shared" si="24"/>
        <v>0</v>
      </c>
    </row>
    <row r="186" spans="2:16">
      <c r="B186" s="587" t="s">
        <v>868</v>
      </c>
      <c r="C186" s="587" t="s">
        <v>869</v>
      </c>
      <c r="D186" s="587" t="s">
        <v>871</v>
      </c>
      <c r="E186" s="587"/>
      <c r="F186" s="587" t="str">
        <f t="shared" si="25"/>
        <v>Marche à pied (exclusivement sur tout le trajet)</v>
      </c>
      <c r="G186" s="587">
        <f t="shared" si="26"/>
        <v>7</v>
      </c>
      <c r="H186" s="587"/>
      <c r="I186" s="587">
        <v>12</v>
      </c>
      <c r="J186" s="587">
        <f t="shared" si="27"/>
        <v>0</v>
      </c>
      <c r="K186" s="587"/>
      <c r="L186" s="587"/>
      <c r="M186" s="587">
        <f t="shared" si="24"/>
        <v>7</v>
      </c>
      <c r="N186" s="587">
        <f t="shared" si="24"/>
        <v>0</v>
      </c>
      <c r="O186" s="587">
        <f t="shared" si="24"/>
        <v>0</v>
      </c>
      <c r="P186" s="587">
        <f t="shared" si="24"/>
        <v>0</v>
      </c>
    </row>
    <row r="187" spans="2:16">
      <c r="B187" s="587" t="s">
        <v>868</v>
      </c>
      <c r="C187" s="587" t="s">
        <v>882</v>
      </c>
      <c r="D187" s="587" t="s">
        <v>873</v>
      </c>
      <c r="E187" s="587"/>
      <c r="F187" s="587" t="str">
        <f t="shared" si="25"/>
        <v>Tramway</v>
      </c>
      <c r="G187" s="587">
        <f t="shared" si="26"/>
        <v>1</v>
      </c>
      <c r="H187" s="587"/>
      <c r="I187" s="587">
        <v>30</v>
      </c>
      <c r="J187" s="587">
        <f t="shared" si="27"/>
        <v>4.8833333333333326E-2</v>
      </c>
      <c r="K187" s="587"/>
      <c r="L187" s="587"/>
      <c r="M187" s="587">
        <f t="shared" si="24"/>
        <v>0</v>
      </c>
      <c r="N187" s="587">
        <f t="shared" si="24"/>
        <v>0</v>
      </c>
      <c r="O187" s="587">
        <f t="shared" si="24"/>
        <v>1</v>
      </c>
      <c r="P187" s="587">
        <f t="shared" si="24"/>
        <v>0</v>
      </c>
    </row>
    <row r="188" spans="2:16">
      <c r="B188" s="587" t="s">
        <v>868</v>
      </c>
      <c r="C188" s="587" t="s">
        <v>882</v>
      </c>
      <c r="D188" s="587"/>
      <c r="E188" s="587" t="s">
        <v>878</v>
      </c>
      <c r="F188" s="587" t="str">
        <f t="shared" si="25"/>
        <v>Marche à pied au-delà de 5 minutes</v>
      </c>
      <c r="G188" s="587">
        <f t="shared" si="26"/>
        <v>7</v>
      </c>
      <c r="H188" s="587"/>
      <c r="I188" s="587">
        <v>30</v>
      </c>
      <c r="J188" s="587">
        <f t="shared" si="27"/>
        <v>0</v>
      </c>
      <c r="K188" s="587"/>
      <c r="L188" s="587"/>
      <c r="M188" s="587">
        <f t="shared" si="24"/>
        <v>0</v>
      </c>
      <c r="N188" s="587">
        <f t="shared" si="24"/>
        <v>0</v>
      </c>
      <c r="O188" s="587">
        <f t="shared" si="24"/>
        <v>7</v>
      </c>
      <c r="P188" s="587">
        <f t="shared" si="24"/>
        <v>0</v>
      </c>
    </row>
    <row r="189" spans="2:16">
      <c r="B189" s="587" t="s">
        <v>868</v>
      </c>
      <c r="C189" s="587" t="s">
        <v>869</v>
      </c>
      <c r="D189" s="587" t="s">
        <v>872</v>
      </c>
      <c r="E189" s="587"/>
      <c r="F189" s="587" t="str">
        <f t="shared" si="25"/>
        <v>Vélo personnel (y compris vélo à assistance électrique)</v>
      </c>
      <c r="G189" s="587">
        <f t="shared" si="26"/>
        <v>7</v>
      </c>
      <c r="H189" s="587"/>
      <c r="I189" s="587">
        <v>10</v>
      </c>
      <c r="J189" s="587">
        <f t="shared" si="27"/>
        <v>0</v>
      </c>
      <c r="K189" s="587"/>
      <c r="L189" s="587"/>
      <c r="M189" s="587">
        <f t="shared" si="24"/>
        <v>7</v>
      </c>
      <c r="N189" s="587">
        <f t="shared" si="24"/>
        <v>0</v>
      </c>
      <c r="O189" s="587">
        <f t="shared" si="24"/>
        <v>0</v>
      </c>
      <c r="P189" s="587">
        <f t="shared" si="24"/>
        <v>0</v>
      </c>
    </row>
    <row r="190" spans="2:16">
      <c r="B190" s="587" t="s">
        <v>868</v>
      </c>
      <c r="C190" s="587" t="s">
        <v>869</v>
      </c>
      <c r="D190" s="587"/>
      <c r="E190" s="587" t="s">
        <v>870</v>
      </c>
      <c r="F190" s="587" t="str">
        <f t="shared" si="25"/>
        <v>Métro</v>
      </c>
      <c r="G190" s="587">
        <f t="shared" si="26"/>
        <v>1</v>
      </c>
      <c r="H190" s="587"/>
      <c r="I190" s="587">
        <v>25</v>
      </c>
      <c r="J190" s="587">
        <f t="shared" si="27"/>
        <v>4.8833333333333326E-2</v>
      </c>
      <c r="K190" s="587"/>
      <c r="L190" s="587"/>
      <c r="M190" s="587">
        <f t="shared" si="24"/>
        <v>1</v>
      </c>
      <c r="N190" s="587">
        <f t="shared" si="24"/>
        <v>0</v>
      </c>
      <c r="O190" s="587">
        <f t="shared" si="24"/>
        <v>0</v>
      </c>
      <c r="P190" s="587">
        <f t="shared" si="24"/>
        <v>0</v>
      </c>
    </row>
    <row r="191" spans="2:16">
      <c r="B191" s="587" t="s">
        <v>868</v>
      </c>
      <c r="C191" s="587" t="s">
        <v>882</v>
      </c>
      <c r="D191" s="587" t="s">
        <v>871</v>
      </c>
      <c r="E191" s="587"/>
      <c r="F191" s="587" t="str">
        <f t="shared" si="25"/>
        <v>Marche à pied (exclusivement sur tout le trajet)</v>
      </c>
      <c r="G191" s="587">
        <f t="shared" si="26"/>
        <v>7</v>
      </c>
      <c r="H191" s="587"/>
      <c r="I191" s="587">
        <v>5</v>
      </c>
      <c r="J191" s="587">
        <f t="shared" si="27"/>
        <v>0</v>
      </c>
      <c r="K191" s="587"/>
      <c r="L191" s="587"/>
      <c r="M191" s="587">
        <f t="shared" si="24"/>
        <v>0</v>
      </c>
      <c r="N191" s="587">
        <f t="shared" si="24"/>
        <v>0</v>
      </c>
      <c r="O191" s="587">
        <f t="shared" si="24"/>
        <v>7</v>
      </c>
      <c r="P191" s="587">
        <f t="shared" si="24"/>
        <v>0</v>
      </c>
    </row>
    <row r="192" spans="2:16">
      <c r="B192" s="587" t="s">
        <v>868</v>
      </c>
      <c r="C192" s="587" t="s">
        <v>882</v>
      </c>
      <c r="D192" s="587" t="s">
        <v>872</v>
      </c>
      <c r="E192" s="587"/>
      <c r="F192" s="587" t="str">
        <f t="shared" si="25"/>
        <v>Vélo personnel (y compris vélo à assistance électrique)</v>
      </c>
      <c r="G192" s="587">
        <f t="shared" si="26"/>
        <v>7</v>
      </c>
      <c r="H192" s="587"/>
      <c r="I192" s="587">
        <v>10</v>
      </c>
      <c r="J192" s="587">
        <f t="shared" si="27"/>
        <v>0</v>
      </c>
      <c r="K192" s="587"/>
      <c r="L192" s="587"/>
      <c r="M192" s="587">
        <f t="shared" si="24"/>
        <v>0</v>
      </c>
      <c r="N192" s="587">
        <f t="shared" si="24"/>
        <v>0</v>
      </c>
      <c r="O192" s="587">
        <f t="shared" si="24"/>
        <v>7</v>
      </c>
      <c r="P192" s="587">
        <f t="shared" si="24"/>
        <v>0</v>
      </c>
    </row>
    <row r="193" spans="2:16">
      <c r="B193" s="587" t="s">
        <v>868</v>
      </c>
      <c r="C193" s="587" t="s">
        <v>869</v>
      </c>
      <c r="D193" s="587" t="s">
        <v>871</v>
      </c>
      <c r="E193" s="587"/>
      <c r="F193" s="587" t="str">
        <f t="shared" si="25"/>
        <v>Marche à pied (exclusivement sur tout le trajet)</v>
      </c>
      <c r="G193" s="587">
        <f t="shared" si="26"/>
        <v>7</v>
      </c>
      <c r="H193" s="587"/>
      <c r="I193" s="587">
        <v>5</v>
      </c>
      <c r="J193" s="587">
        <f t="shared" si="27"/>
        <v>0</v>
      </c>
      <c r="K193" s="587"/>
      <c r="L193" s="587"/>
      <c r="M193" s="587">
        <f t="shared" si="24"/>
        <v>7</v>
      </c>
      <c r="N193" s="587">
        <f t="shared" si="24"/>
        <v>0</v>
      </c>
      <c r="O193" s="587">
        <f t="shared" si="24"/>
        <v>0</v>
      </c>
      <c r="P193" s="587">
        <f t="shared" si="24"/>
        <v>0</v>
      </c>
    </row>
    <row r="194" spans="2:16">
      <c r="B194" s="587" t="s">
        <v>868</v>
      </c>
      <c r="C194" s="587" t="s">
        <v>869</v>
      </c>
      <c r="D194" s="587" t="s">
        <v>872</v>
      </c>
      <c r="E194" s="587"/>
      <c r="F194" s="587" t="str">
        <f t="shared" si="25"/>
        <v>Vélo personnel (y compris vélo à assistance électrique)</v>
      </c>
      <c r="G194" s="587">
        <f t="shared" si="26"/>
        <v>7</v>
      </c>
      <c r="H194" s="587"/>
      <c r="I194" s="587">
        <v>15</v>
      </c>
      <c r="J194" s="587">
        <f t="shared" si="27"/>
        <v>0</v>
      </c>
      <c r="K194" s="587"/>
      <c r="L194" s="587"/>
      <c r="M194" s="587">
        <f t="shared" si="24"/>
        <v>7</v>
      </c>
      <c r="N194" s="587">
        <f t="shared" si="24"/>
        <v>0</v>
      </c>
      <c r="O194" s="587">
        <f t="shared" si="24"/>
        <v>0</v>
      </c>
      <c r="P194" s="587">
        <f t="shared" si="24"/>
        <v>0</v>
      </c>
    </row>
    <row r="195" spans="2:16">
      <c r="B195" s="587" t="s">
        <v>868</v>
      </c>
      <c r="C195" s="587" t="s">
        <v>882</v>
      </c>
      <c r="D195" s="587"/>
      <c r="E195" s="587" t="s">
        <v>880</v>
      </c>
      <c r="F195" s="587" t="str">
        <f t="shared" si="25"/>
        <v>Train (TER,TGV,...)</v>
      </c>
      <c r="G195" s="587">
        <f t="shared" si="26"/>
        <v>6</v>
      </c>
      <c r="H195" s="587"/>
      <c r="I195" s="587">
        <v>90</v>
      </c>
      <c r="J195" s="587">
        <f t="shared" si="27"/>
        <v>0.34600000000000003</v>
      </c>
      <c r="K195" s="587"/>
      <c r="L195" s="587"/>
      <c r="M195" s="587">
        <f t="shared" si="24"/>
        <v>0</v>
      </c>
      <c r="N195" s="587">
        <f t="shared" si="24"/>
        <v>0</v>
      </c>
      <c r="O195" s="587">
        <f t="shared" si="24"/>
        <v>6</v>
      </c>
      <c r="P195" s="587">
        <f t="shared" si="24"/>
        <v>0</v>
      </c>
    </row>
    <row r="196" spans="2:16">
      <c r="B196" s="587" t="s">
        <v>868</v>
      </c>
      <c r="C196" s="587" t="s">
        <v>882</v>
      </c>
      <c r="D196" s="587" t="s">
        <v>879</v>
      </c>
      <c r="E196" s="587"/>
      <c r="F196" s="587" t="str">
        <f t="shared" si="25"/>
        <v>Voiture (seul(e))</v>
      </c>
      <c r="G196" s="587">
        <f t="shared" si="26"/>
        <v>3</v>
      </c>
      <c r="H196" s="587"/>
      <c r="I196" s="587">
        <v>40</v>
      </c>
      <c r="J196" s="587">
        <f t="shared" si="27"/>
        <v>2.7600000000000002</v>
      </c>
      <c r="K196" s="587"/>
      <c r="L196" s="587"/>
      <c r="M196" s="587">
        <f t="shared" si="24"/>
        <v>0</v>
      </c>
      <c r="N196" s="587">
        <f t="shared" si="24"/>
        <v>0</v>
      </c>
      <c r="O196" s="587">
        <f t="shared" si="24"/>
        <v>3</v>
      </c>
      <c r="P196" s="587">
        <f t="shared" si="24"/>
        <v>0</v>
      </c>
    </row>
    <row r="197" spans="2:16">
      <c r="B197" s="587" t="s">
        <v>868</v>
      </c>
      <c r="C197" s="587" t="s">
        <v>875</v>
      </c>
      <c r="D197" s="587" t="s">
        <v>872</v>
      </c>
      <c r="E197" s="587"/>
      <c r="F197" s="587" t="str">
        <f t="shared" si="25"/>
        <v>Vélo personnel (y compris vélo à assistance électrique)</v>
      </c>
      <c r="G197" s="587">
        <f t="shared" si="26"/>
        <v>7</v>
      </c>
      <c r="H197" s="587"/>
      <c r="I197" s="587">
        <v>8</v>
      </c>
      <c r="J197" s="587">
        <f t="shared" si="27"/>
        <v>0</v>
      </c>
      <c r="K197" s="587"/>
      <c r="L197" s="587"/>
      <c r="M197" s="587">
        <f t="shared" si="24"/>
        <v>0</v>
      </c>
      <c r="N197" s="587">
        <f t="shared" si="24"/>
        <v>7</v>
      </c>
      <c r="O197" s="587">
        <f t="shared" si="24"/>
        <v>0</v>
      </c>
      <c r="P197" s="587">
        <f t="shared" si="24"/>
        <v>0</v>
      </c>
    </row>
    <row r="198" spans="2:16">
      <c r="B198" s="587" t="s">
        <v>868</v>
      </c>
      <c r="C198" s="587" t="s">
        <v>875</v>
      </c>
      <c r="D198" s="587" t="s">
        <v>879</v>
      </c>
      <c r="E198" s="587"/>
      <c r="F198" s="587" t="str">
        <f t="shared" si="25"/>
        <v>Voiture (seul(e))</v>
      </c>
      <c r="G198" s="587">
        <f t="shared" si="26"/>
        <v>3</v>
      </c>
      <c r="H198" s="587"/>
      <c r="I198" s="587">
        <v>30</v>
      </c>
      <c r="J198" s="587">
        <f t="shared" si="27"/>
        <v>2.7600000000000002</v>
      </c>
      <c r="K198" s="587"/>
      <c r="L198" s="587"/>
      <c r="M198" s="587">
        <f t="shared" si="24"/>
        <v>0</v>
      </c>
      <c r="N198" s="587">
        <f t="shared" si="24"/>
        <v>3</v>
      </c>
      <c r="O198" s="587">
        <f t="shared" si="24"/>
        <v>0</v>
      </c>
      <c r="P198" s="587">
        <f t="shared" si="24"/>
        <v>0</v>
      </c>
    </row>
    <row r="199" spans="2:16">
      <c r="B199" s="587" t="s">
        <v>868</v>
      </c>
      <c r="C199" s="587" t="s">
        <v>882</v>
      </c>
      <c r="D199" s="587"/>
      <c r="E199" s="587" t="s">
        <v>880</v>
      </c>
      <c r="F199" s="587" t="str">
        <f t="shared" si="25"/>
        <v>Train (TER,TGV,...)</v>
      </c>
      <c r="G199" s="587">
        <f t="shared" si="26"/>
        <v>6</v>
      </c>
      <c r="H199" s="587"/>
      <c r="I199" s="587">
        <v>60</v>
      </c>
      <c r="J199" s="587">
        <f t="shared" si="27"/>
        <v>0.34600000000000003</v>
      </c>
      <c r="K199" s="587"/>
      <c r="L199" s="587"/>
      <c r="M199" s="587">
        <f t="shared" si="24"/>
        <v>0</v>
      </c>
      <c r="N199" s="587">
        <f t="shared" si="24"/>
        <v>0</v>
      </c>
      <c r="O199" s="587">
        <f t="shared" si="24"/>
        <v>6</v>
      </c>
      <c r="P199" s="587">
        <f t="shared" si="24"/>
        <v>0</v>
      </c>
    </row>
    <row r="200" spans="2:16">
      <c r="B200" s="587" t="s">
        <v>868</v>
      </c>
      <c r="C200" s="587" t="s">
        <v>869</v>
      </c>
      <c r="D200" s="587" t="s">
        <v>848</v>
      </c>
      <c r="E200" s="587"/>
      <c r="F200" s="587" t="str">
        <f t="shared" si="25"/>
        <v>Bus</v>
      </c>
      <c r="G200" s="587">
        <f t="shared" si="26"/>
        <v>2</v>
      </c>
      <c r="H200" s="587"/>
      <c r="I200" s="587">
        <v>30</v>
      </c>
      <c r="J200" s="587">
        <f t="shared" si="27"/>
        <v>1.29</v>
      </c>
      <c r="K200" s="587"/>
      <c r="L200" s="587"/>
      <c r="M200" s="587">
        <f t="shared" si="24"/>
        <v>2</v>
      </c>
      <c r="N200" s="587">
        <f t="shared" si="24"/>
        <v>0</v>
      </c>
      <c r="O200" s="587">
        <f t="shared" si="24"/>
        <v>0</v>
      </c>
      <c r="P200" s="587">
        <f t="shared" si="24"/>
        <v>0</v>
      </c>
    </row>
    <row r="201" spans="2:16">
      <c r="B201" s="587" t="s">
        <v>868</v>
      </c>
      <c r="C201" s="587" t="s">
        <v>882</v>
      </c>
      <c r="D201" s="587"/>
      <c r="E201" s="587" t="s">
        <v>848</v>
      </c>
      <c r="F201" s="587" t="str">
        <f t="shared" si="25"/>
        <v>Bus</v>
      </c>
      <c r="G201" s="587">
        <f t="shared" si="26"/>
        <v>2</v>
      </c>
      <c r="H201" s="587"/>
      <c r="I201" s="587">
        <v>100</v>
      </c>
      <c r="J201" s="587">
        <f t="shared" si="27"/>
        <v>1.29</v>
      </c>
      <c r="K201" s="587"/>
      <c r="L201" s="587"/>
      <c r="M201" s="587">
        <f t="shared" si="24"/>
        <v>0</v>
      </c>
      <c r="N201" s="587">
        <f t="shared" si="24"/>
        <v>0</v>
      </c>
      <c r="O201" s="587">
        <f t="shared" si="24"/>
        <v>2</v>
      </c>
      <c r="P201" s="587">
        <f t="shared" si="24"/>
        <v>0</v>
      </c>
    </row>
    <row r="202" spans="2:16">
      <c r="B202" s="587" t="s">
        <v>868</v>
      </c>
      <c r="C202" s="587" t="s">
        <v>882</v>
      </c>
      <c r="D202" s="587" t="s">
        <v>877</v>
      </c>
      <c r="E202" s="587"/>
      <c r="F202" s="587" t="str">
        <f t="shared" si="25"/>
        <v>Vélo’v</v>
      </c>
      <c r="G202" s="587">
        <f t="shared" si="26"/>
        <v>7</v>
      </c>
      <c r="H202" s="587"/>
      <c r="I202" s="587">
        <v>10</v>
      </c>
      <c r="J202" s="587">
        <f t="shared" si="27"/>
        <v>0</v>
      </c>
      <c r="K202" s="587"/>
      <c r="L202" s="587"/>
      <c r="M202" s="587">
        <f t="shared" si="24"/>
        <v>0</v>
      </c>
      <c r="N202" s="587">
        <f t="shared" si="24"/>
        <v>0</v>
      </c>
      <c r="O202" s="587">
        <f t="shared" si="24"/>
        <v>7</v>
      </c>
      <c r="P202" s="587">
        <f t="shared" si="24"/>
        <v>0</v>
      </c>
    </row>
    <row r="203" spans="2:16">
      <c r="B203" s="587" t="s">
        <v>868</v>
      </c>
      <c r="C203" s="587" t="s">
        <v>875</v>
      </c>
      <c r="D203" s="587" t="s">
        <v>872</v>
      </c>
      <c r="E203" s="587"/>
      <c r="F203" s="587" t="str">
        <f t="shared" si="25"/>
        <v>Vélo personnel (y compris vélo à assistance électrique)</v>
      </c>
      <c r="G203" s="587">
        <f t="shared" si="26"/>
        <v>7</v>
      </c>
      <c r="H203" s="587"/>
      <c r="I203" s="587">
        <v>10</v>
      </c>
      <c r="J203" s="587">
        <f t="shared" si="27"/>
        <v>0</v>
      </c>
      <c r="K203" s="587"/>
      <c r="L203" s="587"/>
      <c r="M203" s="587">
        <f t="shared" si="24"/>
        <v>0</v>
      </c>
      <c r="N203" s="587">
        <f t="shared" si="24"/>
        <v>7</v>
      </c>
      <c r="O203" s="587">
        <f t="shared" si="24"/>
        <v>0</v>
      </c>
      <c r="P203" s="587">
        <f t="shared" si="24"/>
        <v>0</v>
      </c>
    </row>
    <row r="204" spans="2:16">
      <c r="B204" s="587" t="s">
        <v>868</v>
      </c>
      <c r="C204" s="587" t="s">
        <v>882</v>
      </c>
      <c r="D204" s="587" t="s">
        <v>872</v>
      </c>
      <c r="E204" s="587"/>
      <c r="F204" s="587" t="str">
        <f t="shared" si="25"/>
        <v>Vélo personnel (y compris vélo à assistance électrique)</v>
      </c>
      <c r="G204" s="587">
        <f t="shared" si="26"/>
        <v>7</v>
      </c>
      <c r="H204" s="587"/>
      <c r="I204" s="587">
        <v>15</v>
      </c>
      <c r="J204" s="587">
        <f t="shared" si="27"/>
        <v>0</v>
      </c>
      <c r="K204" s="587"/>
      <c r="L204" s="587"/>
      <c r="M204" s="587">
        <f t="shared" si="24"/>
        <v>0</v>
      </c>
      <c r="N204" s="587">
        <f t="shared" si="24"/>
        <v>0</v>
      </c>
      <c r="O204" s="587">
        <f t="shared" si="24"/>
        <v>7</v>
      </c>
      <c r="P204" s="587">
        <f t="shared" si="24"/>
        <v>0</v>
      </c>
    </row>
    <row r="205" spans="2:16">
      <c r="B205" s="587" t="s">
        <v>868</v>
      </c>
      <c r="C205" s="587" t="s">
        <v>869</v>
      </c>
      <c r="D205" s="587" t="s">
        <v>873</v>
      </c>
      <c r="E205" s="587"/>
      <c r="F205" s="587" t="str">
        <f t="shared" si="25"/>
        <v>Tramway</v>
      </c>
      <c r="G205" s="587">
        <f t="shared" si="26"/>
        <v>1</v>
      </c>
      <c r="H205" s="587"/>
      <c r="I205" s="587">
        <v>15</v>
      </c>
      <c r="J205" s="587">
        <f t="shared" si="27"/>
        <v>4.8833333333333326E-2</v>
      </c>
      <c r="K205" s="587"/>
      <c r="L205" s="587"/>
      <c r="M205" s="587">
        <f t="shared" si="24"/>
        <v>1</v>
      </c>
      <c r="N205" s="587">
        <f t="shared" si="24"/>
        <v>0</v>
      </c>
      <c r="O205" s="587">
        <f t="shared" si="24"/>
        <v>0</v>
      </c>
      <c r="P205" s="587">
        <f t="shared" si="24"/>
        <v>0</v>
      </c>
    </row>
    <row r="206" spans="2:16">
      <c r="B206" s="587" t="s">
        <v>868</v>
      </c>
      <c r="C206" s="587" t="s">
        <v>875</v>
      </c>
      <c r="D206" s="587" t="s">
        <v>879</v>
      </c>
      <c r="E206" s="587"/>
      <c r="F206" s="587" t="str">
        <f t="shared" si="25"/>
        <v>Voiture (seul(e))</v>
      </c>
      <c r="G206" s="587">
        <f t="shared" si="26"/>
        <v>3</v>
      </c>
      <c r="H206" s="587"/>
      <c r="I206" s="587">
        <v>15</v>
      </c>
      <c r="J206" s="587">
        <f t="shared" si="27"/>
        <v>2.7600000000000002</v>
      </c>
      <c r="K206" s="587"/>
      <c r="L206" s="587"/>
      <c r="M206" s="587">
        <f t="shared" si="24"/>
        <v>0</v>
      </c>
      <c r="N206" s="587">
        <f t="shared" si="24"/>
        <v>3</v>
      </c>
      <c r="O206" s="587">
        <f t="shared" si="24"/>
        <v>0</v>
      </c>
      <c r="P206" s="587">
        <f t="shared" si="24"/>
        <v>0</v>
      </c>
    </row>
    <row r="207" spans="2:16">
      <c r="B207" s="587" t="s">
        <v>868</v>
      </c>
      <c r="C207" s="587" t="s">
        <v>882</v>
      </c>
      <c r="D207" s="587" t="s">
        <v>879</v>
      </c>
      <c r="E207" s="587"/>
      <c r="F207" s="587" t="str">
        <f t="shared" si="25"/>
        <v>Voiture (seul(e))</v>
      </c>
      <c r="G207" s="587">
        <f t="shared" si="26"/>
        <v>3</v>
      </c>
      <c r="H207" s="587"/>
      <c r="I207" s="587">
        <v>20</v>
      </c>
      <c r="J207" s="587">
        <f t="shared" si="27"/>
        <v>2.7600000000000002</v>
      </c>
      <c r="K207" s="587"/>
      <c r="L207" s="587"/>
      <c r="M207" s="587">
        <f t="shared" si="24"/>
        <v>0</v>
      </c>
      <c r="N207" s="587">
        <f t="shared" si="24"/>
        <v>0</v>
      </c>
      <c r="O207" s="587">
        <f t="shared" si="24"/>
        <v>3</v>
      </c>
      <c r="P207" s="587">
        <f t="shared" si="24"/>
        <v>0</v>
      </c>
    </row>
    <row r="208" spans="2:16">
      <c r="B208" s="587" t="s">
        <v>868</v>
      </c>
      <c r="C208" s="587" t="s">
        <v>882</v>
      </c>
      <c r="D208" s="587" t="s">
        <v>873</v>
      </c>
      <c r="E208" s="587"/>
      <c r="F208" s="587" t="str">
        <f t="shared" si="25"/>
        <v>Tramway</v>
      </c>
      <c r="G208" s="587">
        <f t="shared" si="26"/>
        <v>1</v>
      </c>
      <c r="H208" s="587"/>
      <c r="I208" s="587">
        <v>30</v>
      </c>
      <c r="J208" s="587">
        <f t="shared" si="27"/>
        <v>4.8833333333333326E-2</v>
      </c>
      <c r="K208" s="587"/>
      <c r="L208" s="587"/>
      <c r="M208" s="587">
        <f t="shared" si="24"/>
        <v>0</v>
      </c>
      <c r="N208" s="587">
        <f t="shared" si="24"/>
        <v>0</v>
      </c>
      <c r="O208" s="587">
        <f t="shared" si="24"/>
        <v>1</v>
      </c>
      <c r="P208" s="587">
        <f t="shared" si="24"/>
        <v>0</v>
      </c>
    </row>
    <row r="209" spans="2:16">
      <c r="B209" s="587" t="s">
        <v>868</v>
      </c>
      <c r="C209" s="587" t="s">
        <v>882</v>
      </c>
      <c r="D209" s="587"/>
      <c r="E209" s="587" t="s">
        <v>879</v>
      </c>
      <c r="F209" s="587" t="str">
        <f t="shared" si="25"/>
        <v>Voiture (seul(e))</v>
      </c>
      <c r="G209" s="587">
        <f t="shared" si="26"/>
        <v>3</v>
      </c>
      <c r="H209" s="587"/>
      <c r="I209" s="587">
        <v>90</v>
      </c>
      <c r="J209" s="587">
        <f t="shared" si="27"/>
        <v>2.7600000000000002</v>
      </c>
      <c r="K209" s="587"/>
      <c r="L209" s="587"/>
      <c r="M209" s="587">
        <f t="shared" si="24"/>
        <v>0</v>
      </c>
      <c r="N209" s="587">
        <f t="shared" si="24"/>
        <v>0</v>
      </c>
      <c r="O209" s="587">
        <f t="shared" si="24"/>
        <v>3</v>
      </c>
      <c r="P209" s="587">
        <f t="shared" si="24"/>
        <v>0</v>
      </c>
    </row>
    <row r="210" spans="2:16">
      <c r="B210" s="587" t="s">
        <v>868</v>
      </c>
      <c r="C210" s="587" t="s">
        <v>882</v>
      </c>
      <c r="D210" s="587" t="s">
        <v>879</v>
      </c>
      <c r="E210" s="587"/>
      <c r="F210" s="587" t="str">
        <f t="shared" si="25"/>
        <v>Voiture (seul(e))</v>
      </c>
      <c r="G210" s="587">
        <f t="shared" si="26"/>
        <v>3</v>
      </c>
      <c r="H210" s="587"/>
      <c r="I210" s="587">
        <v>45</v>
      </c>
      <c r="J210" s="587">
        <f t="shared" si="27"/>
        <v>2.7600000000000002</v>
      </c>
      <c r="K210" s="587"/>
      <c r="L210" s="587"/>
      <c r="M210" s="587">
        <f t="shared" si="24"/>
        <v>0</v>
      </c>
      <c r="N210" s="587">
        <f t="shared" si="24"/>
        <v>0</v>
      </c>
      <c r="O210" s="587">
        <f t="shared" si="24"/>
        <v>3</v>
      </c>
      <c r="P210" s="587">
        <f t="shared" si="24"/>
        <v>0</v>
      </c>
    </row>
    <row r="211" spans="2:16">
      <c r="B211" s="587" t="s">
        <v>868</v>
      </c>
      <c r="C211" s="587" t="s">
        <v>882</v>
      </c>
      <c r="D211" s="587"/>
      <c r="E211" s="587" t="s">
        <v>879</v>
      </c>
      <c r="F211" s="587" t="str">
        <f t="shared" si="25"/>
        <v>Voiture (seul(e))</v>
      </c>
      <c r="G211" s="587">
        <f t="shared" si="26"/>
        <v>3</v>
      </c>
      <c r="H211" s="587"/>
      <c r="I211" s="587">
        <v>90</v>
      </c>
      <c r="J211" s="587">
        <f t="shared" si="27"/>
        <v>2.7600000000000002</v>
      </c>
      <c r="K211" s="587"/>
      <c r="L211" s="587"/>
      <c r="M211" s="587">
        <f t="shared" si="24"/>
        <v>0</v>
      </c>
      <c r="N211" s="587">
        <f t="shared" si="24"/>
        <v>0</v>
      </c>
      <c r="O211" s="587">
        <f t="shared" si="24"/>
        <v>3</v>
      </c>
      <c r="P211" s="587">
        <f t="shared" si="24"/>
        <v>0</v>
      </c>
    </row>
    <row r="212" spans="2:16">
      <c r="B212" s="587" t="s">
        <v>868</v>
      </c>
      <c r="C212" s="587" t="s">
        <v>882</v>
      </c>
      <c r="D212" s="587" t="s">
        <v>883</v>
      </c>
      <c r="E212" s="587"/>
      <c r="F212" s="587" t="str">
        <f t="shared" si="25"/>
        <v>Covoiturage (passager(ère))</v>
      </c>
      <c r="G212" s="587">
        <f t="shared" si="26"/>
        <v>4</v>
      </c>
      <c r="H212" s="587"/>
      <c r="I212" s="587">
        <v>25</v>
      </c>
      <c r="J212" s="587">
        <f t="shared" si="27"/>
        <v>0.69000000000000006</v>
      </c>
      <c r="K212" s="587"/>
      <c r="L212" s="587"/>
      <c r="M212" s="587">
        <f t="shared" si="24"/>
        <v>0</v>
      </c>
      <c r="N212" s="587">
        <f t="shared" si="24"/>
        <v>0</v>
      </c>
      <c r="O212" s="587">
        <f t="shared" si="24"/>
        <v>4</v>
      </c>
      <c r="P212" s="587">
        <f t="shared" si="24"/>
        <v>0</v>
      </c>
    </row>
    <row r="213" spans="2:16">
      <c r="B213" s="587" t="s">
        <v>868</v>
      </c>
      <c r="C213" s="587" t="s">
        <v>882</v>
      </c>
      <c r="D213" s="587" t="s">
        <v>879</v>
      </c>
      <c r="E213" s="587"/>
      <c r="F213" s="587" t="str">
        <f t="shared" si="25"/>
        <v>Voiture (seul(e))</v>
      </c>
      <c r="G213" s="587">
        <f t="shared" si="26"/>
        <v>3</v>
      </c>
      <c r="H213" s="587"/>
      <c r="I213" s="587">
        <v>45</v>
      </c>
      <c r="J213" s="587">
        <f t="shared" si="27"/>
        <v>2.7600000000000002</v>
      </c>
      <c r="K213" s="587"/>
      <c r="L213" s="587"/>
      <c r="M213" s="587">
        <f t="shared" si="24"/>
        <v>0</v>
      </c>
      <c r="N213" s="587">
        <f t="shared" si="24"/>
        <v>0</v>
      </c>
      <c r="O213" s="587">
        <f t="shared" si="24"/>
        <v>3</v>
      </c>
      <c r="P213" s="587">
        <f t="shared" si="24"/>
        <v>0</v>
      </c>
    </row>
    <row r="214" spans="2:16">
      <c r="B214" s="587" t="s">
        <v>868</v>
      </c>
      <c r="C214" s="587" t="s">
        <v>869</v>
      </c>
      <c r="D214" s="587" t="s">
        <v>871</v>
      </c>
      <c r="E214" s="587"/>
      <c r="F214" s="587" t="str">
        <f t="shared" si="25"/>
        <v>Marche à pied (exclusivement sur tout le trajet)</v>
      </c>
      <c r="G214" s="587">
        <f t="shared" si="26"/>
        <v>7</v>
      </c>
      <c r="H214" s="587"/>
      <c r="I214" s="587">
        <v>15</v>
      </c>
      <c r="J214" s="587">
        <f t="shared" si="27"/>
        <v>0</v>
      </c>
      <c r="K214" s="587"/>
      <c r="L214" s="587"/>
      <c r="M214" s="587">
        <f t="shared" si="24"/>
        <v>7</v>
      </c>
      <c r="N214" s="587">
        <f t="shared" si="24"/>
        <v>0</v>
      </c>
      <c r="O214" s="587">
        <f t="shared" si="24"/>
        <v>0</v>
      </c>
      <c r="P214" s="587">
        <f t="shared" si="24"/>
        <v>0</v>
      </c>
    </row>
    <row r="215" spans="2:16">
      <c r="B215" s="587" t="s">
        <v>868</v>
      </c>
      <c r="C215" s="587" t="s">
        <v>869</v>
      </c>
      <c r="D215" s="587" t="s">
        <v>871</v>
      </c>
      <c r="E215" s="587"/>
      <c r="F215" s="587" t="str">
        <f t="shared" si="25"/>
        <v>Marche à pied (exclusivement sur tout le trajet)</v>
      </c>
      <c r="G215" s="587">
        <f t="shared" si="26"/>
        <v>7</v>
      </c>
      <c r="H215" s="587"/>
      <c r="I215" s="587">
        <v>2</v>
      </c>
      <c r="J215" s="587">
        <f t="shared" si="27"/>
        <v>0</v>
      </c>
      <c r="K215" s="587"/>
      <c r="L215" s="587"/>
      <c r="M215" s="587">
        <f t="shared" si="24"/>
        <v>7</v>
      </c>
      <c r="N215" s="587">
        <f t="shared" si="24"/>
        <v>0</v>
      </c>
      <c r="O215" s="587">
        <f t="shared" si="24"/>
        <v>0</v>
      </c>
      <c r="P215" s="587">
        <f t="shared" si="24"/>
        <v>0</v>
      </c>
    </row>
    <row r="216" spans="2:16">
      <c r="B216" s="587" t="s">
        <v>868</v>
      </c>
      <c r="C216" s="587" t="s">
        <v>882</v>
      </c>
      <c r="D216" s="587" t="s">
        <v>879</v>
      </c>
      <c r="E216" s="587"/>
      <c r="F216" s="587" t="str">
        <f t="shared" si="25"/>
        <v>Voiture (seul(e))</v>
      </c>
      <c r="G216" s="587">
        <f t="shared" si="26"/>
        <v>3</v>
      </c>
      <c r="H216" s="587"/>
      <c r="I216" s="587">
        <v>40</v>
      </c>
      <c r="J216" s="587">
        <f t="shared" si="27"/>
        <v>2.7600000000000002</v>
      </c>
      <c r="K216" s="587"/>
      <c r="L216" s="587"/>
      <c r="M216" s="587">
        <f t="shared" si="24"/>
        <v>0</v>
      </c>
      <c r="N216" s="587">
        <f t="shared" si="24"/>
        <v>0</v>
      </c>
      <c r="O216" s="587">
        <f t="shared" si="24"/>
        <v>3</v>
      </c>
      <c r="P216" s="587">
        <f t="shared" si="24"/>
        <v>0</v>
      </c>
    </row>
    <row r="217" spans="2:16">
      <c r="B217" s="587" t="s">
        <v>868</v>
      </c>
      <c r="C217" s="587" t="s">
        <v>869</v>
      </c>
      <c r="D217" s="587" t="s">
        <v>871</v>
      </c>
      <c r="E217" s="587"/>
      <c r="F217" s="587" t="str">
        <f t="shared" si="25"/>
        <v>Marche à pied (exclusivement sur tout le trajet)</v>
      </c>
      <c r="G217" s="587">
        <f t="shared" si="26"/>
        <v>7</v>
      </c>
      <c r="H217" s="587"/>
      <c r="I217" s="587">
        <v>10</v>
      </c>
      <c r="J217" s="587">
        <f t="shared" si="27"/>
        <v>0</v>
      </c>
      <c r="K217" s="587"/>
      <c r="L217" s="587"/>
      <c r="M217" s="587">
        <f t="shared" si="24"/>
        <v>7</v>
      </c>
      <c r="N217" s="587">
        <f t="shared" si="24"/>
        <v>0</v>
      </c>
      <c r="O217" s="587">
        <f t="shared" si="24"/>
        <v>0</v>
      </c>
      <c r="P217" s="587">
        <f t="shared" si="24"/>
        <v>0</v>
      </c>
    </row>
    <row r="218" spans="2:16">
      <c r="B218" s="587" t="s">
        <v>868</v>
      </c>
      <c r="C218" s="587" t="s">
        <v>875</v>
      </c>
      <c r="D218" s="587" t="s">
        <v>873</v>
      </c>
      <c r="E218" s="587"/>
      <c r="F218" s="587" t="str">
        <f t="shared" si="25"/>
        <v>Tramway</v>
      </c>
      <c r="G218" s="587">
        <f t="shared" si="26"/>
        <v>1</v>
      </c>
      <c r="H218" s="587"/>
      <c r="I218" s="587">
        <v>20</v>
      </c>
      <c r="J218" s="587">
        <f t="shared" si="27"/>
        <v>4.8833333333333326E-2</v>
      </c>
      <c r="K218" s="587"/>
      <c r="L218" s="587"/>
      <c r="M218" s="587">
        <f t="shared" si="24"/>
        <v>0</v>
      </c>
      <c r="N218" s="587">
        <f t="shared" si="24"/>
        <v>1</v>
      </c>
      <c r="O218" s="587">
        <f t="shared" si="24"/>
        <v>0</v>
      </c>
      <c r="P218" s="587">
        <f t="shared" si="24"/>
        <v>0</v>
      </c>
    </row>
    <row r="219" spans="2:16">
      <c r="B219" s="587" t="s">
        <v>868</v>
      </c>
      <c r="C219" s="587" t="s">
        <v>882</v>
      </c>
      <c r="D219" s="587"/>
      <c r="E219" s="587" t="s">
        <v>870</v>
      </c>
      <c r="F219" s="587" t="str">
        <f t="shared" si="25"/>
        <v>Métro</v>
      </c>
      <c r="G219" s="587">
        <f t="shared" si="26"/>
        <v>1</v>
      </c>
      <c r="H219" s="587"/>
      <c r="I219" s="587">
        <v>35</v>
      </c>
      <c r="J219" s="587">
        <f t="shared" si="27"/>
        <v>4.8833333333333326E-2</v>
      </c>
      <c r="K219" s="587"/>
      <c r="L219" s="587"/>
      <c r="M219" s="587">
        <f t="shared" si="24"/>
        <v>0</v>
      </c>
      <c r="N219" s="587">
        <f t="shared" si="24"/>
        <v>0</v>
      </c>
      <c r="O219" s="587">
        <f t="shared" si="24"/>
        <v>1</v>
      </c>
      <c r="P219" s="587">
        <f t="shared" si="24"/>
        <v>0</v>
      </c>
    </row>
    <row r="220" spans="2:16">
      <c r="B220" s="587" t="s">
        <v>868</v>
      </c>
      <c r="C220" s="587" t="s">
        <v>875</v>
      </c>
      <c r="D220" s="587" t="s">
        <v>879</v>
      </c>
      <c r="E220" s="587"/>
      <c r="F220" s="587" t="str">
        <f t="shared" si="25"/>
        <v>Voiture (seul(e))</v>
      </c>
      <c r="G220" s="587">
        <f t="shared" si="26"/>
        <v>3</v>
      </c>
      <c r="H220" s="587"/>
      <c r="I220" s="587">
        <v>40</v>
      </c>
      <c r="J220" s="587">
        <f t="shared" si="27"/>
        <v>2.7600000000000002</v>
      </c>
      <c r="K220" s="587"/>
      <c r="L220" s="587"/>
      <c r="M220" s="587">
        <f t="shared" si="24"/>
        <v>0</v>
      </c>
      <c r="N220" s="587">
        <f t="shared" si="24"/>
        <v>3</v>
      </c>
      <c r="O220" s="587">
        <f t="shared" si="24"/>
        <v>0</v>
      </c>
      <c r="P220" s="587">
        <f t="shared" si="24"/>
        <v>0</v>
      </c>
    </row>
    <row r="221" spans="2:16">
      <c r="B221" s="587" t="s">
        <v>868</v>
      </c>
      <c r="C221" s="587" t="s">
        <v>882</v>
      </c>
      <c r="D221" s="587"/>
      <c r="E221" s="587" t="s">
        <v>878</v>
      </c>
      <c r="F221" s="587" t="str">
        <f t="shared" si="25"/>
        <v>Marche à pied au-delà de 5 minutes</v>
      </c>
      <c r="G221" s="587">
        <f t="shared" si="26"/>
        <v>7</v>
      </c>
      <c r="H221" s="587"/>
      <c r="I221" s="587">
        <v>75</v>
      </c>
      <c r="J221" s="587">
        <f t="shared" si="27"/>
        <v>0</v>
      </c>
      <c r="K221" s="587"/>
      <c r="L221" s="587"/>
      <c r="M221" s="587">
        <f t="shared" si="24"/>
        <v>0</v>
      </c>
      <c r="N221" s="587">
        <f t="shared" si="24"/>
        <v>0</v>
      </c>
      <c r="O221" s="587">
        <f t="shared" si="24"/>
        <v>7</v>
      </c>
      <c r="P221" s="587">
        <f t="shared" si="24"/>
        <v>0</v>
      </c>
    </row>
    <row r="222" spans="2:16">
      <c r="B222" s="587" t="s">
        <v>868</v>
      </c>
      <c r="C222" s="587" t="s">
        <v>869</v>
      </c>
      <c r="D222" s="587" t="s">
        <v>872</v>
      </c>
      <c r="E222" s="587"/>
      <c r="F222" s="587" t="str">
        <f t="shared" si="25"/>
        <v>Vélo personnel (y compris vélo à assistance électrique)</v>
      </c>
      <c r="G222" s="587">
        <f t="shared" si="26"/>
        <v>7</v>
      </c>
      <c r="H222" s="587"/>
      <c r="I222" s="587">
        <v>5</v>
      </c>
      <c r="J222" s="587">
        <f t="shared" si="27"/>
        <v>0</v>
      </c>
      <c r="K222" s="587"/>
      <c r="L222" s="587"/>
      <c r="M222" s="587">
        <f t="shared" ref="M222:P285" si="28">IF($C222=M$27,$G222,0)</f>
        <v>7</v>
      </c>
      <c r="N222" s="587">
        <f t="shared" si="28"/>
        <v>0</v>
      </c>
      <c r="O222" s="587">
        <f t="shared" si="28"/>
        <v>0</v>
      </c>
      <c r="P222" s="587">
        <f t="shared" si="28"/>
        <v>0</v>
      </c>
    </row>
    <row r="223" spans="2:16">
      <c r="B223" s="587" t="s">
        <v>868</v>
      </c>
      <c r="C223" s="587" t="s">
        <v>869</v>
      </c>
      <c r="D223" s="587"/>
      <c r="E223" s="587" t="s">
        <v>870</v>
      </c>
      <c r="F223" s="587" t="str">
        <f t="shared" si="25"/>
        <v>Métro</v>
      </c>
      <c r="G223" s="587">
        <f t="shared" si="26"/>
        <v>1</v>
      </c>
      <c r="H223" s="587"/>
      <c r="I223" s="587">
        <v>30</v>
      </c>
      <c r="J223" s="587">
        <f t="shared" si="27"/>
        <v>4.8833333333333326E-2</v>
      </c>
      <c r="K223" s="587"/>
      <c r="L223" s="587"/>
      <c r="M223" s="587">
        <f t="shared" si="28"/>
        <v>1</v>
      </c>
      <c r="N223" s="587">
        <f t="shared" si="28"/>
        <v>0</v>
      </c>
      <c r="O223" s="587">
        <f t="shared" si="28"/>
        <v>0</v>
      </c>
      <c r="P223" s="587">
        <f t="shared" si="28"/>
        <v>0</v>
      </c>
    </row>
    <row r="224" spans="2:16">
      <c r="B224" s="587" t="s">
        <v>868</v>
      </c>
      <c r="C224" s="587" t="s">
        <v>882</v>
      </c>
      <c r="D224" s="587" t="s">
        <v>879</v>
      </c>
      <c r="E224" s="587"/>
      <c r="F224" s="587" t="str">
        <f t="shared" si="25"/>
        <v>Voiture (seul(e))</v>
      </c>
      <c r="G224" s="587">
        <f t="shared" si="26"/>
        <v>3</v>
      </c>
      <c r="H224" s="587"/>
      <c r="I224" s="587">
        <v>20</v>
      </c>
      <c r="J224" s="587">
        <f t="shared" si="27"/>
        <v>2.7600000000000002</v>
      </c>
      <c r="K224" s="587"/>
      <c r="L224" s="587"/>
      <c r="M224" s="587">
        <f t="shared" si="28"/>
        <v>0</v>
      </c>
      <c r="N224" s="587">
        <f t="shared" si="28"/>
        <v>0</v>
      </c>
      <c r="O224" s="587">
        <f t="shared" si="28"/>
        <v>3</v>
      </c>
      <c r="P224" s="587">
        <f t="shared" si="28"/>
        <v>0</v>
      </c>
    </row>
    <row r="225" spans="2:16">
      <c r="B225" s="587" t="s">
        <v>868</v>
      </c>
      <c r="C225" s="587" t="s">
        <v>882</v>
      </c>
      <c r="D225" s="587" t="s">
        <v>879</v>
      </c>
      <c r="E225" s="587"/>
      <c r="F225" s="587" t="str">
        <f t="shared" si="25"/>
        <v>Voiture (seul(e))</v>
      </c>
      <c r="G225" s="587">
        <f t="shared" si="26"/>
        <v>3</v>
      </c>
      <c r="H225" s="587"/>
      <c r="I225" s="587">
        <v>20</v>
      </c>
      <c r="J225" s="587">
        <f t="shared" si="27"/>
        <v>2.7600000000000002</v>
      </c>
      <c r="K225" s="587"/>
      <c r="L225" s="587"/>
      <c r="M225" s="587">
        <f t="shared" si="28"/>
        <v>0</v>
      </c>
      <c r="N225" s="587">
        <f t="shared" si="28"/>
        <v>0</v>
      </c>
      <c r="O225" s="587">
        <f t="shared" si="28"/>
        <v>3</v>
      </c>
      <c r="P225" s="587">
        <f t="shared" si="28"/>
        <v>0</v>
      </c>
    </row>
    <row r="226" spans="2:16">
      <c r="B226" s="587" t="s">
        <v>868</v>
      </c>
      <c r="C226" s="587" t="s">
        <v>882</v>
      </c>
      <c r="D226" s="587"/>
      <c r="E226" s="587" t="s">
        <v>878</v>
      </c>
      <c r="F226" s="587" t="str">
        <f t="shared" si="25"/>
        <v>Marche à pied au-delà de 5 minutes</v>
      </c>
      <c r="G226" s="587">
        <f t="shared" si="26"/>
        <v>7</v>
      </c>
      <c r="H226" s="587"/>
      <c r="I226" s="587">
        <v>35</v>
      </c>
      <c r="J226" s="587">
        <f t="shared" si="27"/>
        <v>0</v>
      </c>
      <c r="K226" s="587"/>
      <c r="L226" s="587"/>
      <c r="M226" s="587">
        <f t="shared" si="28"/>
        <v>0</v>
      </c>
      <c r="N226" s="587">
        <f t="shared" si="28"/>
        <v>0</v>
      </c>
      <c r="O226" s="587">
        <f t="shared" si="28"/>
        <v>7</v>
      </c>
      <c r="P226" s="587">
        <f t="shared" si="28"/>
        <v>0</v>
      </c>
    </row>
    <row r="227" spans="2:16">
      <c r="B227" s="587" t="s">
        <v>868</v>
      </c>
      <c r="C227" s="587" t="s">
        <v>882</v>
      </c>
      <c r="D227" s="587" t="s">
        <v>879</v>
      </c>
      <c r="E227" s="587"/>
      <c r="F227" s="587" t="str">
        <f t="shared" si="25"/>
        <v>Voiture (seul(e))</v>
      </c>
      <c r="G227" s="587">
        <f t="shared" si="26"/>
        <v>3</v>
      </c>
      <c r="H227" s="587"/>
      <c r="I227" s="587">
        <v>15</v>
      </c>
      <c r="J227" s="587">
        <f t="shared" si="27"/>
        <v>2.7600000000000002</v>
      </c>
      <c r="K227" s="587"/>
      <c r="L227" s="587"/>
      <c r="M227" s="587">
        <f t="shared" si="28"/>
        <v>0</v>
      </c>
      <c r="N227" s="587">
        <f t="shared" si="28"/>
        <v>0</v>
      </c>
      <c r="O227" s="587">
        <f t="shared" si="28"/>
        <v>3</v>
      </c>
      <c r="P227" s="587">
        <f t="shared" si="28"/>
        <v>0</v>
      </c>
    </row>
    <row r="228" spans="2:16">
      <c r="B228" s="587" t="s">
        <v>868</v>
      </c>
      <c r="C228" s="587" t="s">
        <v>869</v>
      </c>
      <c r="D228" s="587" t="s">
        <v>871</v>
      </c>
      <c r="E228" s="587"/>
      <c r="F228" s="587" t="str">
        <f t="shared" si="25"/>
        <v>Marche à pied (exclusivement sur tout le trajet)</v>
      </c>
      <c r="G228" s="587">
        <f t="shared" si="26"/>
        <v>7</v>
      </c>
      <c r="H228" s="587"/>
      <c r="I228" s="587">
        <v>15</v>
      </c>
      <c r="J228" s="587">
        <f t="shared" si="27"/>
        <v>0</v>
      </c>
      <c r="K228" s="587"/>
      <c r="L228" s="587"/>
      <c r="M228" s="587">
        <f t="shared" si="28"/>
        <v>7</v>
      </c>
      <c r="N228" s="587">
        <f t="shared" si="28"/>
        <v>0</v>
      </c>
      <c r="O228" s="587">
        <f t="shared" si="28"/>
        <v>0</v>
      </c>
      <c r="P228" s="587">
        <f t="shared" si="28"/>
        <v>0</v>
      </c>
    </row>
    <row r="229" spans="2:16">
      <c r="B229" s="587" t="s">
        <v>868</v>
      </c>
      <c r="C229" s="587" t="s">
        <v>882</v>
      </c>
      <c r="D229" s="587"/>
      <c r="E229" s="587" t="s">
        <v>870</v>
      </c>
      <c r="F229" s="587" t="str">
        <f t="shared" si="25"/>
        <v>Métro</v>
      </c>
      <c r="G229" s="587">
        <f t="shared" si="26"/>
        <v>1</v>
      </c>
      <c r="H229" s="587"/>
      <c r="I229" s="587">
        <v>35</v>
      </c>
      <c r="J229" s="587">
        <f t="shared" si="27"/>
        <v>4.8833333333333326E-2</v>
      </c>
      <c r="K229" s="587"/>
      <c r="L229" s="587"/>
      <c r="M229" s="587">
        <f t="shared" si="28"/>
        <v>0</v>
      </c>
      <c r="N229" s="587">
        <f t="shared" si="28"/>
        <v>0</v>
      </c>
      <c r="O229" s="587">
        <f t="shared" si="28"/>
        <v>1</v>
      </c>
      <c r="P229" s="587">
        <f t="shared" si="28"/>
        <v>0</v>
      </c>
    </row>
    <row r="230" spans="2:16">
      <c r="B230" s="587" t="s">
        <v>868</v>
      </c>
      <c r="C230" s="587" t="s">
        <v>882</v>
      </c>
      <c r="D230" s="587" t="s">
        <v>879</v>
      </c>
      <c r="E230" s="587"/>
      <c r="F230" s="587" t="str">
        <f t="shared" si="25"/>
        <v>Voiture (seul(e))</v>
      </c>
      <c r="G230" s="587">
        <f t="shared" si="26"/>
        <v>3</v>
      </c>
      <c r="H230" s="587"/>
      <c r="I230" s="587">
        <v>15</v>
      </c>
      <c r="J230" s="587">
        <f t="shared" si="27"/>
        <v>2.7600000000000002</v>
      </c>
      <c r="K230" s="587"/>
      <c r="L230" s="587"/>
      <c r="M230" s="587">
        <f t="shared" si="28"/>
        <v>0</v>
      </c>
      <c r="N230" s="587">
        <f t="shared" si="28"/>
        <v>0</v>
      </c>
      <c r="O230" s="587">
        <f t="shared" si="28"/>
        <v>3</v>
      </c>
      <c r="P230" s="587">
        <f t="shared" si="28"/>
        <v>0</v>
      </c>
    </row>
    <row r="231" spans="2:16">
      <c r="B231" s="587" t="s">
        <v>868</v>
      </c>
      <c r="C231" s="587" t="s">
        <v>882</v>
      </c>
      <c r="D231" s="587" t="s">
        <v>872</v>
      </c>
      <c r="E231" s="587"/>
      <c r="F231" s="587" t="str">
        <f t="shared" si="25"/>
        <v>Vélo personnel (y compris vélo à assistance électrique)</v>
      </c>
      <c r="G231" s="587">
        <f t="shared" si="26"/>
        <v>7</v>
      </c>
      <c r="H231" s="587"/>
      <c r="I231" s="587">
        <v>25</v>
      </c>
      <c r="J231" s="587">
        <f t="shared" si="27"/>
        <v>0</v>
      </c>
      <c r="K231" s="587"/>
      <c r="L231" s="587"/>
      <c r="M231" s="587">
        <f t="shared" si="28"/>
        <v>0</v>
      </c>
      <c r="N231" s="587">
        <f t="shared" si="28"/>
        <v>0</v>
      </c>
      <c r="O231" s="587">
        <f t="shared" si="28"/>
        <v>7</v>
      </c>
      <c r="P231" s="587">
        <f t="shared" si="28"/>
        <v>0</v>
      </c>
    </row>
    <row r="232" spans="2:16">
      <c r="B232" s="587" t="s">
        <v>868</v>
      </c>
      <c r="C232" s="587" t="s">
        <v>882</v>
      </c>
      <c r="D232" s="587" t="s">
        <v>879</v>
      </c>
      <c r="E232" s="587"/>
      <c r="F232" s="587" t="str">
        <f t="shared" si="25"/>
        <v>Voiture (seul(e))</v>
      </c>
      <c r="G232" s="587">
        <f t="shared" si="26"/>
        <v>3</v>
      </c>
      <c r="H232" s="587"/>
      <c r="I232" s="587">
        <v>35</v>
      </c>
      <c r="J232" s="587">
        <f t="shared" si="27"/>
        <v>2.7600000000000002</v>
      </c>
      <c r="K232" s="587"/>
      <c r="L232" s="587"/>
      <c r="M232" s="587">
        <f t="shared" si="28"/>
        <v>0</v>
      </c>
      <c r="N232" s="587">
        <f t="shared" si="28"/>
        <v>0</v>
      </c>
      <c r="O232" s="587">
        <f t="shared" si="28"/>
        <v>3</v>
      </c>
      <c r="P232" s="587">
        <f t="shared" si="28"/>
        <v>0</v>
      </c>
    </row>
    <row r="233" spans="2:16">
      <c r="B233" s="587" t="s">
        <v>868</v>
      </c>
      <c r="C233" s="587" t="s">
        <v>875</v>
      </c>
      <c r="D233" s="587" t="s">
        <v>879</v>
      </c>
      <c r="E233" s="587"/>
      <c r="F233" s="587" t="str">
        <f t="shared" si="25"/>
        <v>Voiture (seul(e))</v>
      </c>
      <c r="G233" s="587">
        <f t="shared" si="26"/>
        <v>3</v>
      </c>
      <c r="H233" s="587"/>
      <c r="I233" s="587">
        <v>10</v>
      </c>
      <c r="J233" s="587">
        <f t="shared" si="27"/>
        <v>2.7600000000000002</v>
      </c>
      <c r="K233" s="587"/>
      <c r="L233" s="587"/>
      <c r="M233" s="587">
        <f t="shared" si="28"/>
        <v>0</v>
      </c>
      <c r="N233" s="587">
        <f t="shared" si="28"/>
        <v>3</v>
      </c>
      <c r="O233" s="587">
        <f t="shared" si="28"/>
        <v>0</v>
      </c>
      <c r="P233" s="587">
        <f t="shared" si="28"/>
        <v>0</v>
      </c>
    </row>
    <row r="234" spans="2:16">
      <c r="B234" s="587" t="s">
        <v>868</v>
      </c>
      <c r="C234" s="587" t="s">
        <v>869</v>
      </c>
      <c r="D234" s="587" t="s">
        <v>871</v>
      </c>
      <c r="E234" s="587"/>
      <c r="F234" s="587" t="str">
        <f t="shared" si="25"/>
        <v>Marche à pied (exclusivement sur tout le trajet)</v>
      </c>
      <c r="G234" s="587">
        <f t="shared" si="26"/>
        <v>7</v>
      </c>
      <c r="H234" s="587"/>
      <c r="I234" s="587">
        <v>8</v>
      </c>
      <c r="J234" s="587">
        <f t="shared" si="27"/>
        <v>0</v>
      </c>
      <c r="K234" s="587"/>
      <c r="L234" s="587"/>
      <c r="M234" s="587">
        <f t="shared" si="28"/>
        <v>7</v>
      </c>
      <c r="N234" s="587">
        <f t="shared" si="28"/>
        <v>0</v>
      </c>
      <c r="O234" s="587">
        <f t="shared" si="28"/>
        <v>0</v>
      </c>
      <c r="P234" s="587">
        <f t="shared" si="28"/>
        <v>0</v>
      </c>
    </row>
    <row r="235" spans="2:16">
      <c r="B235" s="587" t="s">
        <v>868</v>
      </c>
      <c r="C235" s="587" t="s">
        <v>869</v>
      </c>
      <c r="D235" s="587"/>
      <c r="E235" s="587" t="s">
        <v>870</v>
      </c>
      <c r="F235" s="587" t="str">
        <f t="shared" si="25"/>
        <v>Métro</v>
      </c>
      <c r="G235" s="587">
        <f t="shared" si="26"/>
        <v>1</v>
      </c>
      <c r="H235" s="587"/>
      <c r="I235" s="587">
        <v>40</v>
      </c>
      <c r="J235" s="587">
        <f t="shared" si="27"/>
        <v>4.8833333333333326E-2</v>
      </c>
      <c r="K235" s="587"/>
      <c r="L235" s="587"/>
      <c r="M235" s="587">
        <f t="shared" si="28"/>
        <v>1</v>
      </c>
      <c r="N235" s="587">
        <f t="shared" si="28"/>
        <v>0</v>
      </c>
      <c r="O235" s="587">
        <f t="shared" si="28"/>
        <v>0</v>
      </c>
      <c r="P235" s="587">
        <f t="shared" si="28"/>
        <v>0</v>
      </c>
    </row>
    <row r="236" spans="2:16">
      <c r="B236" s="587" t="s">
        <v>868</v>
      </c>
      <c r="C236" s="587" t="s">
        <v>869</v>
      </c>
      <c r="D236" s="587"/>
      <c r="E236" s="587" t="s">
        <v>870</v>
      </c>
      <c r="F236" s="587" t="str">
        <f t="shared" si="25"/>
        <v>Métro</v>
      </c>
      <c r="G236" s="587">
        <f t="shared" si="26"/>
        <v>1</v>
      </c>
      <c r="H236" s="587"/>
      <c r="I236" s="587">
        <v>20</v>
      </c>
      <c r="J236" s="587">
        <f t="shared" si="27"/>
        <v>4.8833333333333326E-2</v>
      </c>
      <c r="K236" s="587"/>
      <c r="L236" s="587"/>
      <c r="M236" s="587">
        <f t="shared" si="28"/>
        <v>1</v>
      </c>
      <c r="N236" s="587">
        <f t="shared" si="28"/>
        <v>0</v>
      </c>
      <c r="O236" s="587">
        <f t="shared" si="28"/>
        <v>0</v>
      </c>
      <c r="P236" s="587">
        <f t="shared" si="28"/>
        <v>0</v>
      </c>
    </row>
    <row r="237" spans="2:16">
      <c r="B237" s="587" t="s">
        <v>868</v>
      </c>
      <c r="C237" s="587" t="s">
        <v>875</v>
      </c>
      <c r="D237" s="587" t="s">
        <v>872</v>
      </c>
      <c r="E237" s="587"/>
      <c r="F237" s="587" t="str">
        <f t="shared" si="25"/>
        <v>Vélo personnel (y compris vélo à assistance électrique)</v>
      </c>
      <c r="G237" s="587">
        <f t="shared" si="26"/>
        <v>7</v>
      </c>
      <c r="H237" s="587"/>
      <c r="I237" s="587">
        <v>25</v>
      </c>
      <c r="J237" s="587">
        <f t="shared" si="27"/>
        <v>0</v>
      </c>
      <c r="K237" s="587"/>
      <c r="L237" s="587"/>
      <c r="M237" s="587">
        <f t="shared" si="28"/>
        <v>0</v>
      </c>
      <c r="N237" s="587">
        <f t="shared" si="28"/>
        <v>7</v>
      </c>
      <c r="O237" s="587">
        <f t="shared" si="28"/>
        <v>0</v>
      </c>
      <c r="P237" s="587">
        <f t="shared" si="28"/>
        <v>0</v>
      </c>
    </row>
    <row r="238" spans="2:16">
      <c r="B238" s="587" t="s">
        <v>868</v>
      </c>
      <c r="C238" s="587" t="s">
        <v>869</v>
      </c>
      <c r="D238" s="587" t="s">
        <v>871</v>
      </c>
      <c r="E238" s="587"/>
      <c r="F238" s="587" t="str">
        <f t="shared" si="25"/>
        <v>Marche à pied (exclusivement sur tout le trajet)</v>
      </c>
      <c r="G238" s="587">
        <f t="shared" si="26"/>
        <v>7</v>
      </c>
      <c r="H238" s="587"/>
      <c r="I238" s="587">
        <v>10</v>
      </c>
      <c r="J238" s="587">
        <f t="shared" si="27"/>
        <v>0</v>
      </c>
      <c r="K238" s="587"/>
      <c r="L238" s="587"/>
      <c r="M238" s="587">
        <f t="shared" si="28"/>
        <v>7</v>
      </c>
      <c r="N238" s="587">
        <f t="shared" si="28"/>
        <v>0</v>
      </c>
      <c r="O238" s="587">
        <f t="shared" si="28"/>
        <v>0</v>
      </c>
      <c r="P238" s="587">
        <f t="shared" si="28"/>
        <v>0</v>
      </c>
    </row>
    <row r="239" spans="2:16">
      <c r="B239" s="587" t="s">
        <v>868</v>
      </c>
      <c r="C239" s="587" t="s">
        <v>882</v>
      </c>
      <c r="D239" s="587"/>
      <c r="E239" s="587" t="s">
        <v>870</v>
      </c>
      <c r="F239" s="587" t="str">
        <f t="shared" si="25"/>
        <v>Métro</v>
      </c>
      <c r="G239" s="587">
        <f t="shared" si="26"/>
        <v>1</v>
      </c>
      <c r="H239" s="587"/>
      <c r="I239" s="587">
        <v>40</v>
      </c>
      <c r="J239" s="587">
        <f t="shared" si="27"/>
        <v>4.8833333333333326E-2</v>
      </c>
      <c r="K239" s="587"/>
      <c r="L239" s="587"/>
      <c r="M239" s="587">
        <f t="shared" si="28"/>
        <v>0</v>
      </c>
      <c r="N239" s="587">
        <f t="shared" si="28"/>
        <v>0</v>
      </c>
      <c r="O239" s="587">
        <f t="shared" si="28"/>
        <v>1</v>
      </c>
      <c r="P239" s="587">
        <f t="shared" si="28"/>
        <v>0</v>
      </c>
    </row>
    <row r="240" spans="2:16">
      <c r="B240" s="587" t="s">
        <v>868</v>
      </c>
      <c r="C240" s="587" t="s">
        <v>882</v>
      </c>
      <c r="D240" s="587"/>
      <c r="E240" s="587" t="s">
        <v>878</v>
      </c>
      <c r="F240" s="587" t="str">
        <f t="shared" ref="F240:F303" si="29">IF(D240="",E240,D240)</f>
        <v>Marche à pied au-delà de 5 minutes</v>
      </c>
      <c r="G240" s="587">
        <f t="shared" ref="G240:G303" si="30">IF(F240="Métro",1,IF(F240="Tramway",1,IF(F240="Vélo'v",7,IF(F240="Marche à pied (exclusivement sur tout le trajet)",7,IF(F240="Vélo personnel (y compris vélo à assistance électrique)",7,IF(F240="Trottinette, roller, skateboard,…",7,IF(F240="Marche à pied au-delà de 5 minutes",7,IF(F240="Voiture (seul(e))",3,IF(F240="Bus",2,IF(F240="Trottinette, roller, skateboard au-delà de 5 minutes",7,IF(F240="Covoiturage (passager(ère))",4,IF(F240="Trottinette, roller, skateboard,...",7,IF(F240="Vélo’v",7,IF(F240="Train (TER,TGV,...)",6,IF(F240="Deux roues motorisées (moto, scooter, mobylette,…)",5,IF(F240="Covoiturage (conducteur(trice))",4,IF(F240="Train (TER,..)",6,0)))))))))))))))))</f>
        <v>7</v>
      </c>
      <c r="H240" s="587"/>
      <c r="I240" s="587">
        <v>60</v>
      </c>
      <c r="J240" s="587">
        <f t="shared" ref="J240:J303" si="31">IF(G240=1,$C$6*($I$28*$K$6)/$J$6,IF(G240=2,$C$7*($I$28*$K$7)/$J$7,IF(G240=3,$C$8*$I$28*$K$8/$J$8,IF(G240=4,$C$9*$I$28*$K$9/$J$9,IF(G240=5,$C$10*$I$28*$K$10/$J$10,IF(G240=6,$C$11*$K$11*$I$28/$J$11,0))))))</f>
        <v>0</v>
      </c>
      <c r="K240" s="587"/>
      <c r="L240" s="587"/>
      <c r="M240" s="587">
        <f t="shared" si="28"/>
        <v>0</v>
      </c>
      <c r="N240" s="587">
        <f t="shared" si="28"/>
        <v>0</v>
      </c>
      <c r="O240" s="587">
        <f t="shared" si="28"/>
        <v>7</v>
      </c>
      <c r="P240" s="587">
        <f t="shared" si="28"/>
        <v>0</v>
      </c>
    </row>
    <row r="241" spans="2:16">
      <c r="B241" s="587" t="s">
        <v>868</v>
      </c>
      <c r="C241" s="587" t="s">
        <v>869</v>
      </c>
      <c r="D241" s="587" t="s">
        <v>871</v>
      </c>
      <c r="E241" s="587"/>
      <c r="F241" s="587" t="str">
        <f t="shared" si="29"/>
        <v>Marche à pied (exclusivement sur tout le trajet)</v>
      </c>
      <c r="G241" s="587">
        <f t="shared" si="30"/>
        <v>7</v>
      </c>
      <c r="H241" s="587"/>
      <c r="I241" s="587">
        <v>2</v>
      </c>
      <c r="J241" s="587">
        <f t="shared" si="31"/>
        <v>0</v>
      </c>
      <c r="K241" s="587"/>
      <c r="L241" s="587"/>
      <c r="M241" s="587">
        <f t="shared" si="28"/>
        <v>7</v>
      </c>
      <c r="N241" s="587">
        <f t="shared" si="28"/>
        <v>0</v>
      </c>
      <c r="O241" s="587">
        <f t="shared" si="28"/>
        <v>0</v>
      </c>
      <c r="P241" s="587">
        <f t="shared" si="28"/>
        <v>0</v>
      </c>
    </row>
    <row r="242" spans="2:16">
      <c r="B242" s="587" t="s">
        <v>868</v>
      </c>
      <c r="C242" s="587" t="s">
        <v>882</v>
      </c>
      <c r="D242" s="587" t="s">
        <v>879</v>
      </c>
      <c r="E242" s="587"/>
      <c r="F242" s="587" t="str">
        <f t="shared" si="29"/>
        <v>Voiture (seul(e))</v>
      </c>
      <c r="G242" s="587">
        <f t="shared" si="30"/>
        <v>3</v>
      </c>
      <c r="H242" s="587"/>
      <c r="I242" s="587">
        <v>40</v>
      </c>
      <c r="J242" s="587">
        <f t="shared" si="31"/>
        <v>2.7600000000000002</v>
      </c>
      <c r="K242" s="587"/>
      <c r="L242" s="587"/>
      <c r="M242" s="587">
        <f t="shared" si="28"/>
        <v>0</v>
      </c>
      <c r="N242" s="587">
        <f t="shared" si="28"/>
        <v>0</v>
      </c>
      <c r="O242" s="587">
        <f t="shared" si="28"/>
        <v>3</v>
      </c>
      <c r="P242" s="587">
        <f t="shared" si="28"/>
        <v>0</v>
      </c>
    </row>
    <row r="243" spans="2:16">
      <c r="B243" s="587" t="s">
        <v>868</v>
      </c>
      <c r="C243" s="587" t="s">
        <v>869</v>
      </c>
      <c r="D243" s="587" t="s">
        <v>872</v>
      </c>
      <c r="E243" s="587"/>
      <c r="F243" s="587" t="str">
        <f t="shared" si="29"/>
        <v>Vélo personnel (y compris vélo à assistance électrique)</v>
      </c>
      <c r="G243" s="587">
        <f t="shared" si="30"/>
        <v>7</v>
      </c>
      <c r="H243" s="587"/>
      <c r="I243" s="587">
        <v>10</v>
      </c>
      <c r="J243" s="587">
        <f t="shared" si="31"/>
        <v>0</v>
      </c>
      <c r="K243" s="587"/>
      <c r="L243" s="587"/>
      <c r="M243" s="587">
        <f t="shared" si="28"/>
        <v>7</v>
      </c>
      <c r="N243" s="587">
        <f t="shared" si="28"/>
        <v>0</v>
      </c>
      <c r="O243" s="587">
        <f t="shared" si="28"/>
        <v>0</v>
      </c>
      <c r="P243" s="587">
        <f t="shared" si="28"/>
        <v>0</v>
      </c>
    </row>
    <row r="244" spans="2:16">
      <c r="B244" s="587" t="s">
        <v>868</v>
      </c>
      <c r="C244" s="587" t="s">
        <v>875</v>
      </c>
      <c r="D244" s="587" t="s">
        <v>879</v>
      </c>
      <c r="E244" s="587"/>
      <c r="F244" s="587" t="str">
        <f t="shared" si="29"/>
        <v>Voiture (seul(e))</v>
      </c>
      <c r="G244" s="587">
        <f t="shared" si="30"/>
        <v>3</v>
      </c>
      <c r="H244" s="587"/>
      <c r="I244" s="587">
        <v>36</v>
      </c>
      <c r="J244" s="587">
        <f t="shared" si="31"/>
        <v>2.7600000000000002</v>
      </c>
      <c r="K244" s="587"/>
      <c r="L244" s="587"/>
      <c r="M244" s="587">
        <f t="shared" si="28"/>
        <v>0</v>
      </c>
      <c r="N244" s="587">
        <f t="shared" si="28"/>
        <v>3</v>
      </c>
      <c r="O244" s="587">
        <f t="shared" si="28"/>
        <v>0</v>
      </c>
      <c r="P244" s="587">
        <f t="shared" si="28"/>
        <v>0</v>
      </c>
    </row>
    <row r="245" spans="2:16">
      <c r="B245" s="587" t="s">
        <v>868</v>
      </c>
      <c r="C245" s="587" t="s">
        <v>882</v>
      </c>
      <c r="D245" s="587" t="s">
        <v>879</v>
      </c>
      <c r="E245" s="587"/>
      <c r="F245" s="587" t="str">
        <f t="shared" si="29"/>
        <v>Voiture (seul(e))</v>
      </c>
      <c r="G245" s="587">
        <f t="shared" si="30"/>
        <v>3</v>
      </c>
      <c r="H245" s="587"/>
      <c r="I245" s="587">
        <v>15</v>
      </c>
      <c r="J245" s="587">
        <f t="shared" si="31"/>
        <v>2.7600000000000002</v>
      </c>
      <c r="K245" s="587"/>
      <c r="L245" s="587"/>
      <c r="M245" s="587">
        <f t="shared" si="28"/>
        <v>0</v>
      </c>
      <c r="N245" s="587">
        <f t="shared" si="28"/>
        <v>0</v>
      </c>
      <c r="O245" s="587">
        <f t="shared" si="28"/>
        <v>3</v>
      </c>
      <c r="P245" s="587">
        <f t="shared" si="28"/>
        <v>0</v>
      </c>
    </row>
    <row r="246" spans="2:16">
      <c r="B246" s="587" t="s">
        <v>868</v>
      </c>
      <c r="C246" s="587" t="s">
        <v>882</v>
      </c>
      <c r="D246" s="587" t="s">
        <v>879</v>
      </c>
      <c r="E246" s="587"/>
      <c r="F246" s="587" t="str">
        <f t="shared" si="29"/>
        <v>Voiture (seul(e))</v>
      </c>
      <c r="G246" s="587">
        <f t="shared" si="30"/>
        <v>3</v>
      </c>
      <c r="H246" s="587"/>
      <c r="I246" s="587">
        <v>40</v>
      </c>
      <c r="J246" s="587">
        <f t="shared" si="31"/>
        <v>2.7600000000000002</v>
      </c>
      <c r="K246" s="587"/>
      <c r="L246" s="587"/>
      <c r="M246" s="587">
        <f t="shared" si="28"/>
        <v>0</v>
      </c>
      <c r="N246" s="587">
        <f t="shared" si="28"/>
        <v>0</v>
      </c>
      <c r="O246" s="587">
        <f t="shared" si="28"/>
        <v>3</v>
      </c>
      <c r="P246" s="587">
        <f t="shared" si="28"/>
        <v>0</v>
      </c>
    </row>
    <row r="247" spans="2:16">
      <c r="B247" s="587" t="s">
        <v>868</v>
      </c>
      <c r="C247" s="587" t="s">
        <v>869</v>
      </c>
      <c r="D247" s="587" t="s">
        <v>871</v>
      </c>
      <c r="E247" s="587"/>
      <c r="F247" s="587" t="str">
        <f t="shared" si="29"/>
        <v>Marche à pied (exclusivement sur tout le trajet)</v>
      </c>
      <c r="G247" s="587">
        <f t="shared" si="30"/>
        <v>7</v>
      </c>
      <c r="H247" s="587"/>
      <c r="I247" s="587">
        <v>4</v>
      </c>
      <c r="J247" s="587">
        <f t="shared" si="31"/>
        <v>0</v>
      </c>
      <c r="K247" s="587"/>
      <c r="L247" s="587"/>
      <c r="M247" s="587">
        <f t="shared" si="28"/>
        <v>7</v>
      </c>
      <c r="N247" s="587">
        <f t="shared" si="28"/>
        <v>0</v>
      </c>
      <c r="O247" s="587">
        <f t="shared" si="28"/>
        <v>0</v>
      </c>
      <c r="P247" s="587">
        <f t="shared" si="28"/>
        <v>0</v>
      </c>
    </row>
    <row r="248" spans="2:16">
      <c r="B248" s="587" t="s">
        <v>868</v>
      </c>
      <c r="C248" s="587" t="s">
        <v>869</v>
      </c>
      <c r="D248" s="587" t="s">
        <v>872</v>
      </c>
      <c r="E248" s="587"/>
      <c r="F248" s="587" t="str">
        <f t="shared" si="29"/>
        <v>Vélo personnel (y compris vélo à assistance électrique)</v>
      </c>
      <c r="G248" s="587">
        <f t="shared" si="30"/>
        <v>7</v>
      </c>
      <c r="H248" s="587"/>
      <c r="I248" s="587">
        <v>15</v>
      </c>
      <c r="J248" s="587">
        <f t="shared" si="31"/>
        <v>0</v>
      </c>
      <c r="K248" s="587"/>
      <c r="L248" s="587"/>
      <c r="M248" s="587">
        <f t="shared" si="28"/>
        <v>7</v>
      </c>
      <c r="N248" s="587">
        <f t="shared" si="28"/>
        <v>0</v>
      </c>
      <c r="O248" s="587">
        <f t="shared" si="28"/>
        <v>0</v>
      </c>
      <c r="P248" s="587">
        <f t="shared" si="28"/>
        <v>0</v>
      </c>
    </row>
    <row r="249" spans="2:16">
      <c r="B249" s="587" t="s">
        <v>868</v>
      </c>
      <c r="C249" s="587" t="s">
        <v>869</v>
      </c>
      <c r="D249" s="587" t="s">
        <v>872</v>
      </c>
      <c r="E249" s="587"/>
      <c r="F249" s="587" t="str">
        <f t="shared" si="29"/>
        <v>Vélo personnel (y compris vélo à assistance électrique)</v>
      </c>
      <c r="G249" s="587">
        <f t="shared" si="30"/>
        <v>7</v>
      </c>
      <c r="H249" s="587"/>
      <c r="I249" s="587">
        <v>8</v>
      </c>
      <c r="J249" s="587">
        <f t="shared" si="31"/>
        <v>0</v>
      </c>
      <c r="K249" s="587"/>
      <c r="L249" s="587"/>
      <c r="M249" s="587">
        <f t="shared" si="28"/>
        <v>7</v>
      </c>
      <c r="N249" s="587">
        <f t="shared" si="28"/>
        <v>0</v>
      </c>
      <c r="O249" s="587">
        <f t="shared" si="28"/>
        <v>0</v>
      </c>
      <c r="P249" s="587">
        <f t="shared" si="28"/>
        <v>0</v>
      </c>
    </row>
    <row r="250" spans="2:16">
      <c r="B250" s="587" t="s">
        <v>868</v>
      </c>
      <c r="C250" s="587" t="s">
        <v>882</v>
      </c>
      <c r="D250" s="587" t="s">
        <v>871</v>
      </c>
      <c r="E250" s="587"/>
      <c r="F250" s="587" t="str">
        <f t="shared" si="29"/>
        <v>Marche à pied (exclusivement sur tout le trajet)</v>
      </c>
      <c r="G250" s="587">
        <f t="shared" si="30"/>
        <v>7</v>
      </c>
      <c r="H250" s="587"/>
      <c r="I250" s="587">
        <v>10</v>
      </c>
      <c r="J250" s="587">
        <f t="shared" si="31"/>
        <v>0</v>
      </c>
      <c r="K250" s="587"/>
      <c r="L250" s="587"/>
      <c r="M250" s="587">
        <f t="shared" si="28"/>
        <v>0</v>
      </c>
      <c r="N250" s="587">
        <f t="shared" si="28"/>
        <v>0</v>
      </c>
      <c r="O250" s="587">
        <f t="shared" si="28"/>
        <v>7</v>
      </c>
      <c r="P250" s="587">
        <f t="shared" si="28"/>
        <v>0</v>
      </c>
    </row>
    <row r="251" spans="2:16">
      <c r="B251" s="587" t="s">
        <v>868</v>
      </c>
      <c r="C251" s="587" t="s">
        <v>882</v>
      </c>
      <c r="D251" s="587"/>
      <c r="E251" s="587" t="s">
        <v>870</v>
      </c>
      <c r="F251" s="587" t="str">
        <f t="shared" si="29"/>
        <v>Métro</v>
      </c>
      <c r="G251" s="587">
        <f t="shared" si="30"/>
        <v>1</v>
      </c>
      <c r="H251" s="587"/>
      <c r="I251" s="587"/>
      <c r="J251" s="587">
        <f t="shared" si="31"/>
        <v>4.8833333333333326E-2</v>
      </c>
      <c r="K251" s="587"/>
      <c r="L251" s="587"/>
      <c r="M251" s="587">
        <f t="shared" si="28"/>
        <v>0</v>
      </c>
      <c r="N251" s="587">
        <f t="shared" si="28"/>
        <v>0</v>
      </c>
      <c r="O251" s="587">
        <f t="shared" si="28"/>
        <v>1</v>
      </c>
      <c r="P251" s="587">
        <f t="shared" si="28"/>
        <v>0</v>
      </c>
    </row>
    <row r="252" spans="2:16">
      <c r="B252" s="587" t="s">
        <v>868</v>
      </c>
      <c r="C252" s="587" t="s">
        <v>875</v>
      </c>
      <c r="D252" s="587" t="s">
        <v>879</v>
      </c>
      <c r="E252" s="587"/>
      <c r="F252" s="587" t="str">
        <f t="shared" si="29"/>
        <v>Voiture (seul(e))</v>
      </c>
      <c r="G252" s="587">
        <f t="shared" si="30"/>
        <v>3</v>
      </c>
      <c r="H252" s="587"/>
      <c r="I252" s="587">
        <v>30</v>
      </c>
      <c r="J252" s="587">
        <f t="shared" si="31"/>
        <v>2.7600000000000002</v>
      </c>
      <c r="K252" s="587"/>
      <c r="L252" s="587"/>
      <c r="M252" s="587">
        <f t="shared" si="28"/>
        <v>0</v>
      </c>
      <c r="N252" s="587">
        <f t="shared" si="28"/>
        <v>3</v>
      </c>
      <c r="O252" s="587">
        <f t="shared" si="28"/>
        <v>0</v>
      </c>
      <c r="P252" s="587">
        <f t="shared" si="28"/>
        <v>0</v>
      </c>
    </row>
    <row r="253" spans="2:16">
      <c r="B253" s="587" t="s">
        <v>868</v>
      </c>
      <c r="C253" s="587" t="s">
        <v>869</v>
      </c>
      <c r="D253" s="587" t="s">
        <v>871</v>
      </c>
      <c r="E253" s="587"/>
      <c r="F253" s="587" t="str">
        <f t="shared" si="29"/>
        <v>Marche à pied (exclusivement sur tout le trajet)</v>
      </c>
      <c r="G253" s="587">
        <f t="shared" si="30"/>
        <v>7</v>
      </c>
      <c r="H253" s="587"/>
      <c r="I253" s="587">
        <v>5</v>
      </c>
      <c r="J253" s="587">
        <f t="shared" si="31"/>
        <v>0</v>
      </c>
      <c r="K253" s="587"/>
      <c r="L253" s="587"/>
      <c r="M253" s="587">
        <f t="shared" si="28"/>
        <v>7</v>
      </c>
      <c r="N253" s="587">
        <f t="shared" si="28"/>
        <v>0</v>
      </c>
      <c r="O253" s="587">
        <f t="shared" si="28"/>
        <v>0</v>
      </c>
      <c r="P253" s="587">
        <f t="shared" si="28"/>
        <v>0</v>
      </c>
    </row>
    <row r="254" spans="2:16">
      <c r="B254" s="587" t="s">
        <v>868</v>
      </c>
      <c r="C254" s="587" t="s">
        <v>882</v>
      </c>
      <c r="D254" s="587"/>
      <c r="E254" s="587" t="s">
        <v>870</v>
      </c>
      <c r="F254" s="587" t="str">
        <f t="shared" si="29"/>
        <v>Métro</v>
      </c>
      <c r="G254" s="587">
        <f t="shared" si="30"/>
        <v>1</v>
      </c>
      <c r="H254" s="587"/>
      <c r="I254" s="587">
        <v>45</v>
      </c>
      <c r="J254" s="587">
        <f t="shared" si="31"/>
        <v>4.8833333333333326E-2</v>
      </c>
      <c r="K254" s="587"/>
      <c r="L254" s="587"/>
      <c r="M254" s="587">
        <f t="shared" si="28"/>
        <v>0</v>
      </c>
      <c r="N254" s="587">
        <f t="shared" si="28"/>
        <v>0</v>
      </c>
      <c r="O254" s="587">
        <f t="shared" si="28"/>
        <v>1</v>
      </c>
      <c r="P254" s="587">
        <f t="shared" si="28"/>
        <v>0</v>
      </c>
    </row>
    <row r="255" spans="2:16">
      <c r="B255" s="587" t="s">
        <v>868</v>
      </c>
      <c r="C255" s="587" t="s">
        <v>869</v>
      </c>
      <c r="D255" s="587"/>
      <c r="E255" s="587" t="s">
        <v>880</v>
      </c>
      <c r="F255" s="587" t="str">
        <f t="shared" si="29"/>
        <v>Train (TER,TGV,...)</v>
      </c>
      <c r="G255" s="587">
        <f t="shared" si="30"/>
        <v>6</v>
      </c>
      <c r="H255" s="587"/>
      <c r="I255" s="587">
        <v>150</v>
      </c>
      <c r="J255" s="587">
        <f t="shared" si="31"/>
        <v>0.34600000000000003</v>
      </c>
      <c r="K255" s="587"/>
      <c r="L255" s="587"/>
      <c r="M255" s="587">
        <f t="shared" si="28"/>
        <v>6</v>
      </c>
      <c r="N255" s="587">
        <f t="shared" si="28"/>
        <v>0</v>
      </c>
      <c r="O255" s="587">
        <f t="shared" si="28"/>
        <v>0</v>
      </c>
      <c r="P255" s="587">
        <f t="shared" si="28"/>
        <v>0</v>
      </c>
    </row>
    <row r="256" spans="2:16">
      <c r="B256" s="587" t="s">
        <v>868</v>
      </c>
      <c r="C256" s="587" t="s">
        <v>869</v>
      </c>
      <c r="D256" s="587" t="s">
        <v>871</v>
      </c>
      <c r="E256" s="587"/>
      <c r="F256" s="587" t="str">
        <f t="shared" si="29"/>
        <v>Marche à pied (exclusivement sur tout le trajet)</v>
      </c>
      <c r="G256" s="587">
        <f t="shared" si="30"/>
        <v>7</v>
      </c>
      <c r="H256" s="587"/>
      <c r="I256" s="587">
        <v>15</v>
      </c>
      <c r="J256" s="587">
        <f t="shared" si="31"/>
        <v>0</v>
      </c>
      <c r="K256" s="587"/>
      <c r="L256" s="587"/>
      <c r="M256" s="587">
        <f t="shared" si="28"/>
        <v>7</v>
      </c>
      <c r="N256" s="587">
        <f t="shared" si="28"/>
        <v>0</v>
      </c>
      <c r="O256" s="587">
        <f t="shared" si="28"/>
        <v>0</v>
      </c>
      <c r="P256" s="587">
        <f t="shared" si="28"/>
        <v>0</v>
      </c>
    </row>
    <row r="257" spans="2:16">
      <c r="B257" s="587" t="s">
        <v>868</v>
      </c>
      <c r="C257" s="587" t="s">
        <v>875</v>
      </c>
      <c r="D257" s="587" t="s">
        <v>872</v>
      </c>
      <c r="E257" s="587"/>
      <c r="F257" s="587" t="str">
        <f t="shared" si="29"/>
        <v>Vélo personnel (y compris vélo à assistance électrique)</v>
      </c>
      <c r="G257" s="587">
        <f t="shared" si="30"/>
        <v>7</v>
      </c>
      <c r="H257" s="587"/>
      <c r="I257" s="587">
        <v>25</v>
      </c>
      <c r="J257" s="587">
        <f t="shared" si="31"/>
        <v>0</v>
      </c>
      <c r="K257" s="587"/>
      <c r="L257" s="587"/>
      <c r="M257" s="587">
        <f t="shared" si="28"/>
        <v>0</v>
      </c>
      <c r="N257" s="587">
        <f t="shared" si="28"/>
        <v>7</v>
      </c>
      <c r="O257" s="587">
        <f t="shared" si="28"/>
        <v>0</v>
      </c>
      <c r="P257" s="587">
        <f t="shared" si="28"/>
        <v>0</v>
      </c>
    </row>
    <row r="258" spans="2:16">
      <c r="B258" s="587" t="s">
        <v>868</v>
      </c>
      <c r="C258" s="587" t="s">
        <v>869</v>
      </c>
      <c r="D258" s="587" t="s">
        <v>871</v>
      </c>
      <c r="E258" s="587"/>
      <c r="F258" s="587" t="str">
        <f t="shared" si="29"/>
        <v>Marche à pied (exclusivement sur tout le trajet)</v>
      </c>
      <c r="G258" s="587">
        <f t="shared" si="30"/>
        <v>7</v>
      </c>
      <c r="H258" s="587"/>
      <c r="I258" s="587">
        <v>10</v>
      </c>
      <c r="J258" s="587">
        <f t="shared" si="31"/>
        <v>0</v>
      </c>
      <c r="K258" s="587"/>
      <c r="L258" s="587"/>
      <c r="M258" s="587">
        <f t="shared" si="28"/>
        <v>7</v>
      </c>
      <c r="N258" s="587">
        <f t="shared" si="28"/>
        <v>0</v>
      </c>
      <c r="O258" s="587">
        <f t="shared" si="28"/>
        <v>0</v>
      </c>
      <c r="P258" s="587">
        <f t="shared" si="28"/>
        <v>0</v>
      </c>
    </row>
    <row r="259" spans="2:16">
      <c r="B259" s="587" t="s">
        <v>868</v>
      </c>
      <c r="C259" s="587" t="s">
        <v>869</v>
      </c>
      <c r="D259" s="587" t="s">
        <v>879</v>
      </c>
      <c r="E259" s="587"/>
      <c r="F259" s="587" t="str">
        <f t="shared" si="29"/>
        <v>Voiture (seul(e))</v>
      </c>
      <c r="G259" s="587">
        <f t="shared" si="30"/>
        <v>3</v>
      </c>
      <c r="H259" s="587"/>
      <c r="I259" s="587">
        <v>30</v>
      </c>
      <c r="J259" s="587">
        <f t="shared" si="31"/>
        <v>2.7600000000000002</v>
      </c>
      <c r="K259" s="587"/>
      <c r="L259" s="587"/>
      <c r="M259" s="587">
        <f t="shared" si="28"/>
        <v>3</v>
      </c>
      <c r="N259" s="587">
        <f t="shared" si="28"/>
        <v>0</v>
      </c>
      <c r="O259" s="587">
        <f t="shared" si="28"/>
        <v>0</v>
      </c>
      <c r="P259" s="587">
        <f t="shared" si="28"/>
        <v>0</v>
      </c>
    </row>
    <row r="260" spans="2:16">
      <c r="B260" s="587" t="s">
        <v>868</v>
      </c>
      <c r="C260" s="587" t="s">
        <v>882</v>
      </c>
      <c r="D260" s="587" t="s">
        <v>871</v>
      </c>
      <c r="E260" s="587"/>
      <c r="F260" s="587" t="str">
        <f t="shared" si="29"/>
        <v>Marche à pied (exclusivement sur tout le trajet)</v>
      </c>
      <c r="G260" s="587">
        <f t="shared" si="30"/>
        <v>7</v>
      </c>
      <c r="H260" s="587"/>
      <c r="I260" s="587">
        <v>15</v>
      </c>
      <c r="J260" s="587">
        <f t="shared" si="31"/>
        <v>0</v>
      </c>
      <c r="K260" s="587"/>
      <c r="L260" s="587"/>
      <c r="M260" s="587">
        <f t="shared" si="28"/>
        <v>0</v>
      </c>
      <c r="N260" s="587">
        <f t="shared" si="28"/>
        <v>0</v>
      </c>
      <c r="O260" s="587">
        <f t="shared" si="28"/>
        <v>7</v>
      </c>
      <c r="P260" s="587">
        <f t="shared" si="28"/>
        <v>0</v>
      </c>
    </row>
    <row r="261" spans="2:16">
      <c r="B261" s="587" t="s">
        <v>868</v>
      </c>
      <c r="C261" s="587" t="s">
        <v>882</v>
      </c>
      <c r="D261" s="587"/>
      <c r="E261" s="587" t="s">
        <v>848</v>
      </c>
      <c r="F261" s="587" t="str">
        <f t="shared" si="29"/>
        <v>Bus</v>
      </c>
      <c r="G261" s="587">
        <f t="shared" si="30"/>
        <v>2</v>
      </c>
      <c r="H261" s="587"/>
      <c r="I261" s="587">
        <v>45</v>
      </c>
      <c r="J261" s="587">
        <f t="shared" si="31"/>
        <v>1.29</v>
      </c>
      <c r="K261" s="587"/>
      <c r="L261" s="587"/>
      <c r="M261" s="587">
        <f t="shared" si="28"/>
        <v>0</v>
      </c>
      <c r="N261" s="587">
        <f t="shared" si="28"/>
        <v>0</v>
      </c>
      <c r="O261" s="587">
        <f t="shared" si="28"/>
        <v>2</v>
      </c>
      <c r="P261" s="587">
        <f t="shared" si="28"/>
        <v>0</v>
      </c>
    </row>
    <row r="262" spans="2:16">
      <c r="B262" s="587" t="s">
        <v>868</v>
      </c>
      <c r="C262" s="587" t="s">
        <v>869</v>
      </c>
      <c r="D262" s="587" t="s">
        <v>871</v>
      </c>
      <c r="E262" s="587"/>
      <c r="F262" s="587" t="str">
        <f t="shared" si="29"/>
        <v>Marche à pied (exclusivement sur tout le trajet)</v>
      </c>
      <c r="G262" s="587">
        <f t="shared" si="30"/>
        <v>7</v>
      </c>
      <c r="H262" s="587"/>
      <c r="I262" s="587">
        <v>19</v>
      </c>
      <c r="J262" s="587">
        <f t="shared" si="31"/>
        <v>0</v>
      </c>
      <c r="K262" s="587"/>
      <c r="L262" s="587"/>
      <c r="M262" s="587">
        <f t="shared" si="28"/>
        <v>7</v>
      </c>
      <c r="N262" s="587">
        <f t="shared" si="28"/>
        <v>0</v>
      </c>
      <c r="O262" s="587">
        <f t="shared" si="28"/>
        <v>0</v>
      </c>
      <c r="P262" s="587">
        <f t="shared" si="28"/>
        <v>0</v>
      </c>
    </row>
    <row r="263" spans="2:16">
      <c r="B263" s="587" t="s">
        <v>868</v>
      </c>
      <c r="C263" s="587" t="s">
        <v>875</v>
      </c>
      <c r="D263" s="587" t="s">
        <v>871</v>
      </c>
      <c r="E263" s="587"/>
      <c r="F263" s="587" t="str">
        <f t="shared" si="29"/>
        <v>Marche à pied (exclusivement sur tout le trajet)</v>
      </c>
      <c r="G263" s="587">
        <f t="shared" si="30"/>
        <v>7</v>
      </c>
      <c r="H263" s="587"/>
      <c r="I263" s="587">
        <v>12</v>
      </c>
      <c r="J263" s="587">
        <f t="shared" si="31"/>
        <v>0</v>
      </c>
      <c r="K263" s="587"/>
      <c r="L263" s="587"/>
      <c r="M263" s="587">
        <f t="shared" si="28"/>
        <v>0</v>
      </c>
      <c r="N263" s="587">
        <f t="shared" si="28"/>
        <v>7</v>
      </c>
      <c r="O263" s="587">
        <f t="shared" si="28"/>
        <v>0</v>
      </c>
      <c r="P263" s="587">
        <f t="shared" si="28"/>
        <v>0</v>
      </c>
    </row>
    <row r="264" spans="2:16">
      <c r="B264" s="587" t="s">
        <v>868</v>
      </c>
      <c r="C264" s="587" t="s">
        <v>869</v>
      </c>
      <c r="D264" s="587" t="s">
        <v>871</v>
      </c>
      <c r="E264" s="587"/>
      <c r="F264" s="587" t="str">
        <f t="shared" si="29"/>
        <v>Marche à pied (exclusivement sur tout le trajet)</v>
      </c>
      <c r="G264" s="587">
        <f t="shared" si="30"/>
        <v>7</v>
      </c>
      <c r="H264" s="587"/>
      <c r="I264" s="587">
        <v>5</v>
      </c>
      <c r="J264" s="587">
        <f t="shared" si="31"/>
        <v>0</v>
      </c>
      <c r="K264" s="587"/>
      <c r="L264" s="587"/>
      <c r="M264" s="587">
        <f t="shared" si="28"/>
        <v>7</v>
      </c>
      <c r="N264" s="587">
        <f t="shared" si="28"/>
        <v>0</v>
      </c>
      <c r="O264" s="587">
        <f t="shared" si="28"/>
        <v>0</v>
      </c>
      <c r="P264" s="587">
        <f t="shared" si="28"/>
        <v>0</v>
      </c>
    </row>
    <row r="265" spans="2:16">
      <c r="B265" s="587" t="s">
        <v>868</v>
      </c>
      <c r="C265" s="587" t="s">
        <v>882</v>
      </c>
      <c r="D265" s="587" t="s">
        <v>872</v>
      </c>
      <c r="E265" s="587"/>
      <c r="F265" s="587" t="str">
        <f t="shared" si="29"/>
        <v>Vélo personnel (y compris vélo à assistance électrique)</v>
      </c>
      <c r="G265" s="587">
        <f t="shared" si="30"/>
        <v>7</v>
      </c>
      <c r="H265" s="587"/>
      <c r="I265" s="587">
        <v>4</v>
      </c>
      <c r="J265" s="587">
        <f t="shared" si="31"/>
        <v>0</v>
      </c>
      <c r="K265" s="587"/>
      <c r="L265" s="587"/>
      <c r="M265" s="587">
        <f t="shared" si="28"/>
        <v>0</v>
      </c>
      <c r="N265" s="587">
        <f t="shared" si="28"/>
        <v>0</v>
      </c>
      <c r="O265" s="587">
        <f t="shared" si="28"/>
        <v>7</v>
      </c>
      <c r="P265" s="587">
        <f t="shared" si="28"/>
        <v>0</v>
      </c>
    </row>
    <row r="266" spans="2:16">
      <c r="B266" s="587" t="s">
        <v>868</v>
      </c>
      <c r="C266" s="587" t="s">
        <v>869</v>
      </c>
      <c r="D266" s="587" t="s">
        <v>871</v>
      </c>
      <c r="E266" s="587"/>
      <c r="F266" s="587" t="str">
        <f t="shared" si="29"/>
        <v>Marche à pied (exclusivement sur tout le trajet)</v>
      </c>
      <c r="G266" s="587">
        <f t="shared" si="30"/>
        <v>7</v>
      </c>
      <c r="H266" s="587"/>
      <c r="I266" s="587">
        <v>15</v>
      </c>
      <c r="J266" s="587">
        <f t="shared" si="31"/>
        <v>0</v>
      </c>
      <c r="K266" s="587"/>
      <c r="L266" s="587"/>
      <c r="M266" s="587">
        <f t="shared" si="28"/>
        <v>7</v>
      </c>
      <c r="N266" s="587">
        <f t="shared" si="28"/>
        <v>0</v>
      </c>
      <c r="O266" s="587">
        <f t="shared" si="28"/>
        <v>0</v>
      </c>
      <c r="P266" s="587">
        <f t="shared" si="28"/>
        <v>0</v>
      </c>
    </row>
    <row r="267" spans="2:16">
      <c r="B267" s="587" t="s">
        <v>868</v>
      </c>
      <c r="C267" s="587" t="s">
        <v>882</v>
      </c>
      <c r="D267" s="587" t="s">
        <v>848</v>
      </c>
      <c r="E267" s="587"/>
      <c r="F267" s="587" t="str">
        <f t="shared" si="29"/>
        <v>Bus</v>
      </c>
      <c r="G267" s="587">
        <f t="shared" si="30"/>
        <v>2</v>
      </c>
      <c r="H267" s="587"/>
      <c r="I267" s="587">
        <v>25</v>
      </c>
      <c r="J267" s="587">
        <f t="shared" si="31"/>
        <v>1.29</v>
      </c>
      <c r="K267" s="587"/>
      <c r="L267" s="587"/>
      <c r="M267" s="587">
        <f t="shared" si="28"/>
        <v>0</v>
      </c>
      <c r="N267" s="587">
        <f t="shared" si="28"/>
        <v>0</v>
      </c>
      <c r="O267" s="587">
        <f t="shared" si="28"/>
        <v>2</v>
      </c>
      <c r="P267" s="587">
        <f t="shared" si="28"/>
        <v>0</v>
      </c>
    </row>
    <row r="268" spans="2:16">
      <c r="B268" s="587" t="s">
        <v>868</v>
      </c>
      <c r="C268" s="587" t="s">
        <v>869</v>
      </c>
      <c r="D268" s="587" t="s">
        <v>871</v>
      </c>
      <c r="E268" s="587"/>
      <c r="F268" s="587" t="str">
        <f t="shared" si="29"/>
        <v>Marche à pied (exclusivement sur tout le trajet)</v>
      </c>
      <c r="G268" s="587">
        <f t="shared" si="30"/>
        <v>7</v>
      </c>
      <c r="H268" s="587"/>
      <c r="I268" s="587">
        <v>15</v>
      </c>
      <c r="J268" s="587">
        <f t="shared" si="31"/>
        <v>0</v>
      </c>
      <c r="K268" s="587"/>
      <c r="L268" s="587"/>
      <c r="M268" s="587">
        <f t="shared" si="28"/>
        <v>7</v>
      </c>
      <c r="N268" s="587">
        <f t="shared" si="28"/>
        <v>0</v>
      </c>
      <c r="O268" s="587">
        <f t="shared" si="28"/>
        <v>0</v>
      </c>
      <c r="P268" s="587">
        <f t="shared" si="28"/>
        <v>0</v>
      </c>
    </row>
    <row r="269" spans="2:16">
      <c r="B269" s="587" t="s">
        <v>868</v>
      </c>
      <c r="C269" s="587" t="s">
        <v>869</v>
      </c>
      <c r="D269" s="587" t="s">
        <v>872</v>
      </c>
      <c r="E269" s="587"/>
      <c r="F269" s="587" t="str">
        <f t="shared" si="29"/>
        <v>Vélo personnel (y compris vélo à assistance électrique)</v>
      </c>
      <c r="G269" s="587">
        <f t="shared" si="30"/>
        <v>7</v>
      </c>
      <c r="H269" s="587"/>
      <c r="I269" s="587">
        <v>15</v>
      </c>
      <c r="J269" s="587">
        <f t="shared" si="31"/>
        <v>0</v>
      </c>
      <c r="K269" s="587"/>
      <c r="L269" s="587"/>
      <c r="M269" s="587">
        <f t="shared" si="28"/>
        <v>7</v>
      </c>
      <c r="N269" s="587">
        <f t="shared" si="28"/>
        <v>0</v>
      </c>
      <c r="O269" s="587">
        <f t="shared" si="28"/>
        <v>0</v>
      </c>
      <c r="P269" s="587">
        <f t="shared" si="28"/>
        <v>0</v>
      </c>
    </row>
    <row r="270" spans="2:16">
      <c r="B270" s="587" t="s">
        <v>868</v>
      </c>
      <c r="C270" s="587" t="s">
        <v>882</v>
      </c>
      <c r="D270" s="587" t="s">
        <v>879</v>
      </c>
      <c r="E270" s="587"/>
      <c r="F270" s="587" t="str">
        <f t="shared" si="29"/>
        <v>Voiture (seul(e))</v>
      </c>
      <c r="G270" s="587">
        <f t="shared" si="30"/>
        <v>3</v>
      </c>
      <c r="H270" s="587"/>
      <c r="I270" s="587">
        <v>40</v>
      </c>
      <c r="J270" s="587">
        <f t="shared" si="31"/>
        <v>2.7600000000000002</v>
      </c>
      <c r="K270" s="587"/>
      <c r="L270" s="587"/>
      <c r="M270" s="587">
        <f t="shared" si="28"/>
        <v>0</v>
      </c>
      <c r="N270" s="587">
        <f t="shared" si="28"/>
        <v>0</v>
      </c>
      <c r="O270" s="587">
        <f t="shared" si="28"/>
        <v>3</v>
      </c>
      <c r="P270" s="587">
        <f t="shared" si="28"/>
        <v>0</v>
      </c>
    </row>
    <row r="271" spans="2:16">
      <c r="B271" s="587" t="s">
        <v>868</v>
      </c>
      <c r="C271" s="587" t="s">
        <v>882</v>
      </c>
      <c r="D271" s="587" t="s">
        <v>879</v>
      </c>
      <c r="E271" s="587"/>
      <c r="F271" s="587" t="str">
        <f t="shared" si="29"/>
        <v>Voiture (seul(e))</v>
      </c>
      <c r="G271" s="587">
        <f t="shared" si="30"/>
        <v>3</v>
      </c>
      <c r="H271" s="587"/>
      <c r="I271" s="587">
        <v>15</v>
      </c>
      <c r="J271" s="587">
        <f t="shared" si="31"/>
        <v>2.7600000000000002</v>
      </c>
      <c r="K271" s="587"/>
      <c r="L271" s="587"/>
      <c r="M271" s="587">
        <f t="shared" si="28"/>
        <v>0</v>
      </c>
      <c r="N271" s="587">
        <f t="shared" si="28"/>
        <v>0</v>
      </c>
      <c r="O271" s="587">
        <f t="shared" si="28"/>
        <v>3</v>
      </c>
      <c r="P271" s="587">
        <f t="shared" si="28"/>
        <v>0</v>
      </c>
    </row>
    <row r="272" spans="2:16">
      <c r="B272" s="587" t="s">
        <v>868</v>
      </c>
      <c r="C272" s="587" t="s">
        <v>875</v>
      </c>
      <c r="D272" s="587"/>
      <c r="E272" s="587" t="s">
        <v>870</v>
      </c>
      <c r="F272" s="587" t="str">
        <f t="shared" si="29"/>
        <v>Métro</v>
      </c>
      <c r="G272" s="587">
        <f t="shared" si="30"/>
        <v>1</v>
      </c>
      <c r="H272" s="587"/>
      <c r="I272" s="587">
        <v>30</v>
      </c>
      <c r="J272" s="587">
        <f t="shared" si="31"/>
        <v>4.8833333333333326E-2</v>
      </c>
      <c r="K272" s="587"/>
      <c r="L272" s="587"/>
      <c r="M272" s="587">
        <f t="shared" si="28"/>
        <v>0</v>
      </c>
      <c r="N272" s="587">
        <f t="shared" si="28"/>
        <v>1</v>
      </c>
      <c r="O272" s="587">
        <f t="shared" si="28"/>
        <v>0</v>
      </c>
      <c r="P272" s="587">
        <f t="shared" si="28"/>
        <v>0</v>
      </c>
    </row>
    <row r="273" spans="2:16">
      <c r="B273" s="587" t="s">
        <v>868</v>
      </c>
      <c r="C273" s="587" t="s">
        <v>869</v>
      </c>
      <c r="D273" s="587" t="s">
        <v>871</v>
      </c>
      <c r="E273" s="587"/>
      <c r="F273" s="587" t="str">
        <f t="shared" si="29"/>
        <v>Marche à pied (exclusivement sur tout le trajet)</v>
      </c>
      <c r="G273" s="587">
        <f t="shared" si="30"/>
        <v>7</v>
      </c>
      <c r="H273" s="587"/>
      <c r="I273" s="587">
        <v>5</v>
      </c>
      <c r="J273" s="587">
        <f t="shared" si="31"/>
        <v>0</v>
      </c>
      <c r="K273" s="587"/>
      <c r="L273" s="587"/>
      <c r="M273" s="587">
        <f t="shared" si="28"/>
        <v>7</v>
      </c>
      <c r="N273" s="587">
        <f t="shared" si="28"/>
        <v>0</v>
      </c>
      <c r="O273" s="587">
        <f t="shared" si="28"/>
        <v>0</v>
      </c>
      <c r="P273" s="587">
        <f t="shared" si="28"/>
        <v>0</v>
      </c>
    </row>
    <row r="274" spans="2:16">
      <c r="B274" s="587" t="s">
        <v>868</v>
      </c>
      <c r="C274" s="587" t="s">
        <v>869</v>
      </c>
      <c r="D274" s="587"/>
      <c r="E274" s="587" t="s">
        <v>873</v>
      </c>
      <c r="F274" s="587" t="str">
        <f t="shared" si="29"/>
        <v>Tramway</v>
      </c>
      <c r="G274" s="587">
        <f t="shared" si="30"/>
        <v>1</v>
      </c>
      <c r="H274" s="587"/>
      <c r="I274" s="587">
        <v>2</v>
      </c>
      <c r="J274" s="587">
        <f t="shared" si="31"/>
        <v>4.8833333333333326E-2</v>
      </c>
      <c r="K274" s="587"/>
      <c r="L274" s="587"/>
      <c r="M274" s="587">
        <f t="shared" si="28"/>
        <v>1</v>
      </c>
      <c r="N274" s="587">
        <f t="shared" si="28"/>
        <v>0</v>
      </c>
      <c r="O274" s="587">
        <f t="shared" si="28"/>
        <v>0</v>
      </c>
      <c r="P274" s="587">
        <f t="shared" si="28"/>
        <v>0</v>
      </c>
    </row>
    <row r="275" spans="2:16">
      <c r="B275" s="587" t="s">
        <v>868</v>
      </c>
      <c r="C275" s="587" t="s">
        <v>882</v>
      </c>
      <c r="D275" s="587"/>
      <c r="E275" s="587" t="s">
        <v>880</v>
      </c>
      <c r="F275" s="587" t="str">
        <f t="shared" si="29"/>
        <v>Train (TER,TGV,...)</v>
      </c>
      <c r="G275" s="587">
        <f t="shared" si="30"/>
        <v>6</v>
      </c>
      <c r="H275" s="587"/>
      <c r="I275" s="587">
        <v>1</v>
      </c>
      <c r="J275" s="587">
        <f t="shared" si="31"/>
        <v>0.34600000000000003</v>
      </c>
      <c r="K275" s="587"/>
      <c r="L275" s="587"/>
      <c r="M275" s="587">
        <f t="shared" si="28"/>
        <v>0</v>
      </c>
      <c r="N275" s="587">
        <f t="shared" si="28"/>
        <v>0</v>
      </c>
      <c r="O275" s="587">
        <f t="shared" si="28"/>
        <v>6</v>
      </c>
      <c r="P275" s="587">
        <f t="shared" si="28"/>
        <v>0</v>
      </c>
    </row>
    <row r="276" spans="2:16">
      <c r="B276" s="587" t="s">
        <v>868</v>
      </c>
      <c r="C276" s="587" t="s">
        <v>869</v>
      </c>
      <c r="D276" s="587" t="s">
        <v>871</v>
      </c>
      <c r="E276" s="587"/>
      <c r="F276" s="587" t="str">
        <f t="shared" si="29"/>
        <v>Marche à pied (exclusivement sur tout le trajet)</v>
      </c>
      <c r="G276" s="587">
        <f t="shared" si="30"/>
        <v>7</v>
      </c>
      <c r="H276" s="587"/>
      <c r="I276" s="587">
        <v>12</v>
      </c>
      <c r="J276" s="587">
        <f t="shared" si="31"/>
        <v>0</v>
      </c>
      <c r="K276" s="587"/>
      <c r="L276" s="587"/>
      <c r="M276" s="587">
        <f t="shared" si="28"/>
        <v>7</v>
      </c>
      <c r="N276" s="587">
        <f t="shared" si="28"/>
        <v>0</v>
      </c>
      <c r="O276" s="587">
        <f t="shared" si="28"/>
        <v>0</v>
      </c>
      <c r="P276" s="587">
        <f t="shared" si="28"/>
        <v>0</v>
      </c>
    </row>
    <row r="277" spans="2:16">
      <c r="B277" s="587" t="s">
        <v>868</v>
      </c>
      <c r="C277" s="587" t="s">
        <v>875</v>
      </c>
      <c r="D277" s="587" t="s">
        <v>872</v>
      </c>
      <c r="E277" s="587"/>
      <c r="F277" s="587" t="str">
        <f t="shared" si="29"/>
        <v>Vélo personnel (y compris vélo à assistance électrique)</v>
      </c>
      <c r="G277" s="587">
        <f t="shared" si="30"/>
        <v>7</v>
      </c>
      <c r="H277" s="587"/>
      <c r="I277" s="587">
        <v>30</v>
      </c>
      <c r="J277" s="587">
        <f t="shared" si="31"/>
        <v>0</v>
      </c>
      <c r="K277" s="587"/>
      <c r="L277" s="587"/>
      <c r="M277" s="587">
        <f t="shared" si="28"/>
        <v>0</v>
      </c>
      <c r="N277" s="587">
        <f t="shared" si="28"/>
        <v>7</v>
      </c>
      <c r="O277" s="587">
        <f t="shared" si="28"/>
        <v>0</v>
      </c>
      <c r="P277" s="587">
        <f t="shared" si="28"/>
        <v>0</v>
      </c>
    </row>
    <row r="278" spans="2:16">
      <c r="B278" s="587" t="s">
        <v>868</v>
      </c>
      <c r="C278" s="587" t="s">
        <v>869</v>
      </c>
      <c r="D278" s="587" t="s">
        <v>872</v>
      </c>
      <c r="E278" s="587"/>
      <c r="F278" s="587" t="str">
        <f t="shared" si="29"/>
        <v>Vélo personnel (y compris vélo à assistance électrique)</v>
      </c>
      <c r="G278" s="587">
        <f t="shared" si="30"/>
        <v>7</v>
      </c>
      <c r="H278" s="587"/>
      <c r="I278" s="587">
        <v>4</v>
      </c>
      <c r="J278" s="587">
        <f t="shared" si="31"/>
        <v>0</v>
      </c>
      <c r="K278" s="587"/>
      <c r="L278" s="587"/>
      <c r="M278" s="587">
        <f t="shared" si="28"/>
        <v>7</v>
      </c>
      <c r="N278" s="587">
        <f t="shared" si="28"/>
        <v>0</v>
      </c>
      <c r="O278" s="587">
        <f t="shared" si="28"/>
        <v>0</v>
      </c>
      <c r="P278" s="587">
        <f t="shared" si="28"/>
        <v>0</v>
      </c>
    </row>
    <row r="279" spans="2:16">
      <c r="B279" s="587" t="s">
        <v>868</v>
      </c>
      <c r="C279" s="587" t="s">
        <v>869</v>
      </c>
      <c r="D279" s="587" t="s">
        <v>871</v>
      </c>
      <c r="E279" s="587"/>
      <c r="F279" s="587" t="str">
        <f t="shared" si="29"/>
        <v>Marche à pied (exclusivement sur tout le trajet)</v>
      </c>
      <c r="G279" s="587">
        <f t="shared" si="30"/>
        <v>7</v>
      </c>
      <c r="H279" s="587"/>
      <c r="I279" s="587">
        <v>1</v>
      </c>
      <c r="J279" s="587">
        <f t="shared" si="31"/>
        <v>0</v>
      </c>
      <c r="K279" s="587"/>
      <c r="L279" s="587"/>
      <c r="M279" s="587">
        <f t="shared" si="28"/>
        <v>7</v>
      </c>
      <c r="N279" s="587">
        <f t="shared" si="28"/>
        <v>0</v>
      </c>
      <c r="O279" s="587">
        <f t="shared" si="28"/>
        <v>0</v>
      </c>
      <c r="P279" s="587">
        <f t="shared" si="28"/>
        <v>0</v>
      </c>
    </row>
    <row r="280" spans="2:16">
      <c r="B280" s="587" t="s">
        <v>868</v>
      </c>
      <c r="C280" s="587" t="s">
        <v>869</v>
      </c>
      <c r="D280" s="587" t="s">
        <v>871</v>
      </c>
      <c r="E280" s="587"/>
      <c r="F280" s="587" t="str">
        <f t="shared" si="29"/>
        <v>Marche à pied (exclusivement sur tout le trajet)</v>
      </c>
      <c r="G280" s="587">
        <f t="shared" si="30"/>
        <v>7</v>
      </c>
      <c r="H280" s="587"/>
      <c r="I280" s="587">
        <v>5</v>
      </c>
      <c r="J280" s="587">
        <f t="shared" si="31"/>
        <v>0</v>
      </c>
      <c r="K280" s="587"/>
      <c r="L280" s="587"/>
      <c r="M280" s="587">
        <f t="shared" si="28"/>
        <v>7</v>
      </c>
      <c r="N280" s="587">
        <f t="shared" si="28"/>
        <v>0</v>
      </c>
      <c r="O280" s="587">
        <f t="shared" si="28"/>
        <v>0</v>
      </c>
      <c r="P280" s="587">
        <f t="shared" si="28"/>
        <v>0</v>
      </c>
    </row>
    <row r="281" spans="2:16">
      <c r="B281" s="587" t="s">
        <v>868</v>
      </c>
      <c r="C281" s="587" t="s">
        <v>869</v>
      </c>
      <c r="D281" s="587" t="s">
        <v>871</v>
      </c>
      <c r="E281" s="587"/>
      <c r="F281" s="587" t="str">
        <f t="shared" si="29"/>
        <v>Marche à pied (exclusivement sur tout le trajet)</v>
      </c>
      <c r="G281" s="587">
        <f t="shared" si="30"/>
        <v>7</v>
      </c>
      <c r="H281" s="587"/>
      <c r="I281" s="587">
        <v>4</v>
      </c>
      <c r="J281" s="587">
        <f t="shared" si="31"/>
        <v>0</v>
      </c>
      <c r="K281" s="587"/>
      <c r="L281" s="587"/>
      <c r="M281" s="587">
        <f t="shared" si="28"/>
        <v>7</v>
      </c>
      <c r="N281" s="587">
        <f t="shared" si="28"/>
        <v>0</v>
      </c>
      <c r="O281" s="587">
        <f t="shared" si="28"/>
        <v>0</v>
      </c>
      <c r="P281" s="587">
        <f t="shared" si="28"/>
        <v>0</v>
      </c>
    </row>
    <row r="282" spans="2:16">
      <c r="B282" s="587" t="s">
        <v>868</v>
      </c>
      <c r="C282" s="587" t="s">
        <v>869</v>
      </c>
      <c r="D282" s="587" t="s">
        <v>871</v>
      </c>
      <c r="E282" s="587"/>
      <c r="F282" s="587" t="str">
        <f t="shared" si="29"/>
        <v>Marche à pied (exclusivement sur tout le trajet)</v>
      </c>
      <c r="G282" s="587">
        <f t="shared" si="30"/>
        <v>7</v>
      </c>
      <c r="H282" s="587"/>
      <c r="I282" s="587">
        <v>2</v>
      </c>
      <c r="J282" s="587">
        <f t="shared" si="31"/>
        <v>0</v>
      </c>
      <c r="K282" s="587"/>
      <c r="L282" s="587"/>
      <c r="M282" s="587">
        <f t="shared" si="28"/>
        <v>7</v>
      </c>
      <c r="N282" s="587">
        <f t="shared" si="28"/>
        <v>0</v>
      </c>
      <c r="O282" s="587">
        <f t="shared" si="28"/>
        <v>0</v>
      </c>
      <c r="P282" s="587">
        <f t="shared" si="28"/>
        <v>0</v>
      </c>
    </row>
    <row r="283" spans="2:16">
      <c r="B283" s="587" t="s">
        <v>868</v>
      </c>
      <c r="C283" s="587" t="s">
        <v>882</v>
      </c>
      <c r="D283" s="587" t="s">
        <v>884</v>
      </c>
      <c r="E283" s="587"/>
      <c r="F283" s="587" t="str">
        <f t="shared" si="29"/>
        <v>Deux roues motorisées (moto, scooter, mobylette,…)</v>
      </c>
      <c r="G283" s="587">
        <f t="shared" si="30"/>
        <v>5</v>
      </c>
      <c r="H283" s="587"/>
      <c r="I283" s="587">
        <v>25</v>
      </c>
      <c r="J283" s="587">
        <f t="shared" si="31"/>
        <v>1.288</v>
      </c>
      <c r="K283" s="587"/>
      <c r="L283" s="587"/>
      <c r="M283" s="587">
        <f t="shared" si="28"/>
        <v>0</v>
      </c>
      <c r="N283" s="587">
        <f t="shared" si="28"/>
        <v>0</v>
      </c>
      <c r="O283" s="587">
        <f t="shared" si="28"/>
        <v>5</v>
      </c>
      <c r="P283" s="587">
        <f t="shared" si="28"/>
        <v>0</v>
      </c>
    </row>
    <row r="284" spans="2:16">
      <c r="B284" s="587" t="s">
        <v>868</v>
      </c>
      <c r="C284" s="587" t="s">
        <v>882</v>
      </c>
      <c r="D284" s="587" t="s">
        <v>873</v>
      </c>
      <c r="E284" s="587"/>
      <c r="F284" s="587" t="str">
        <f t="shared" si="29"/>
        <v>Tramway</v>
      </c>
      <c r="G284" s="587">
        <f t="shared" si="30"/>
        <v>1</v>
      </c>
      <c r="H284" s="587"/>
      <c r="I284" s="587">
        <v>15</v>
      </c>
      <c r="J284" s="587">
        <f t="shared" si="31"/>
        <v>4.8833333333333326E-2</v>
      </c>
      <c r="K284" s="587"/>
      <c r="L284" s="587"/>
      <c r="M284" s="587">
        <f t="shared" si="28"/>
        <v>0</v>
      </c>
      <c r="N284" s="587">
        <f t="shared" si="28"/>
        <v>0</v>
      </c>
      <c r="O284" s="587">
        <f t="shared" si="28"/>
        <v>1</v>
      </c>
      <c r="P284" s="587">
        <f t="shared" si="28"/>
        <v>0</v>
      </c>
    </row>
    <row r="285" spans="2:16">
      <c r="B285" s="587" t="s">
        <v>868</v>
      </c>
      <c r="C285" s="587" t="s">
        <v>869</v>
      </c>
      <c r="D285" s="587" t="s">
        <v>873</v>
      </c>
      <c r="E285" s="587"/>
      <c r="F285" s="587" t="str">
        <f t="shared" si="29"/>
        <v>Tramway</v>
      </c>
      <c r="G285" s="587">
        <f t="shared" si="30"/>
        <v>1</v>
      </c>
      <c r="H285" s="587"/>
      <c r="I285" s="587">
        <v>12</v>
      </c>
      <c r="J285" s="587">
        <f t="shared" si="31"/>
        <v>4.8833333333333326E-2</v>
      </c>
      <c r="K285" s="587"/>
      <c r="L285" s="587"/>
      <c r="M285" s="587">
        <f t="shared" si="28"/>
        <v>1</v>
      </c>
      <c r="N285" s="587">
        <f t="shared" si="28"/>
        <v>0</v>
      </c>
      <c r="O285" s="587">
        <f t="shared" si="28"/>
        <v>0</v>
      </c>
      <c r="P285" s="587">
        <f t="shared" ref="P285:P348" si="32">IF($C285=P$27,$G285,0)</f>
        <v>0</v>
      </c>
    </row>
    <row r="286" spans="2:16">
      <c r="B286" s="587" t="s">
        <v>868</v>
      </c>
      <c r="C286" s="587" t="s">
        <v>869</v>
      </c>
      <c r="D286" s="587" t="s">
        <v>872</v>
      </c>
      <c r="E286" s="587"/>
      <c r="F286" s="587" t="str">
        <f t="shared" si="29"/>
        <v>Vélo personnel (y compris vélo à assistance électrique)</v>
      </c>
      <c r="G286" s="587">
        <f t="shared" si="30"/>
        <v>7</v>
      </c>
      <c r="H286" s="587"/>
      <c r="I286" s="587">
        <v>10</v>
      </c>
      <c r="J286" s="587">
        <f t="shared" si="31"/>
        <v>0</v>
      </c>
      <c r="K286" s="587"/>
      <c r="L286" s="587"/>
      <c r="M286" s="587">
        <f t="shared" ref="M286:P349" si="33">IF($C286=M$27,$G286,0)</f>
        <v>7</v>
      </c>
      <c r="N286" s="587">
        <f t="shared" si="33"/>
        <v>0</v>
      </c>
      <c r="O286" s="587">
        <f t="shared" si="33"/>
        <v>0</v>
      </c>
      <c r="P286" s="587">
        <f t="shared" si="32"/>
        <v>0</v>
      </c>
    </row>
    <row r="287" spans="2:16">
      <c r="B287" s="587" t="s">
        <v>868</v>
      </c>
      <c r="C287" s="587" t="s">
        <v>869</v>
      </c>
      <c r="D287" s="587" t="s">
        <v>877</v>
      </c>
      <c r="E287" s="587"/>
      <c r="F287" s="587" t="str">
        <f t="shared" si="29"/>
        <v>Vélo’v</v>
      </c>
      <c r="G287" s="587">
        <f t="shared" si="30"/>
        <v>7</v>
      </c>
      <c r="H287" s="587"/>
      <c r="I287" s="587">
        <v>10</v>
      </c>
      <c r="J287" s="587">
        <f t="shared" si="31"/>
        <v>0</v>
      </c>
      <c r="K287" s="587"/>
      <c r="L287" s="587"/>
      <c r="M287" s="587">
        <f t="shared" si="33"/>
        <v>7</v>
      </c>
      <c r="N287" s="587">
        <f t="shared" si="33"/>
        <v>0</v>
      </c>
      <c r="O287" s="587">
        <f t="shared" si="33"/>
        <v>0</v>
      </c>
      <c r="P287" s="587">
        <f t="shared" si="32"/>
        <v>0</v>
      </c>
    </row>
    <row r="288" spans="2:16">
      <c r="B288" s="587" t="s">
        <v>868</v>
      </c>
      <c r="C288" s="587" t="s">
        <v>882</v>
      </c>
      <c r="D288" s="587" t="s">
        <v>879</v>
      </c>
      <c r="E288" s="587"/>
      <c r="F288" s="587" t="str">
        <f t="shared" si="29"/>
        <v>Voiture (seul(e))</v>
      </c>
      <c r="G288" s="587">
        <f t="shared" si="30"/>
        <v>3</v>
      </c>
      <c r="H288" s="587"/>
      <c r="I288" s="587">
        <v>15</v>
      </c>
      <c r="J288" s="587">
        <f t="shared" si="31"/>
        <v>2.7600000000000002</v>
      </c>
      <c r="K288" s="587"/>
      <c r="L288" s="587"/>
      <c r="M288" s="587">
        <f t="shared" si="33"/>
        <v>0</v>
      </c>
      <c r="N288" s="587">
        <f t="shared" si="33"/>
        <v>0</v>
      </c>
      <c r="O288" s="587">
        <f t="shared" si="33"/>
        <v>3</v>
      </c>
      <c r="P288" s="587">
        <f t="shared" si="32"/>
        <v>0</v>
      </c>
    </row>
    <row r="289" spans="2:16">
      <c r="B289" s="587" t="s">
        <v>868</v>
      </c>
      <c r="C289" s="587" t="s">
        <v>875</v>
      </c>
      <c r="D289" s="587" t="s">
        <v>872</v>
      </c>
      <c r="E289" s="587"/>
      <c r="F289" s="587" t="str">
        <f t="shared" si="29"/>
        <v>Vélo personnel (y compris vélo à assistance électrique)</v>
      </c>
      <c r="G289" s="587">
        <f t="shared" si="30"/>
        <v>7</v>
      </c>
      <c r="H289" s="587"/>
      <c r="I289" s="587">
        <v>20</v>
      </c>
      <c r="J289" s="587">
        <f t="shared" si="31"/>
        <v>0</v>
      </c>
      <c r="K289" s="587"/>
      <c r="L289" s="587"/>
      <c r="M289" s="587">
        <f t="shared" si="33"/>
        <v>0</v>
      </c>
      <c r="N289" s="587">
        <f t="shared" si="33"/>
        <v>7</v>
      </c>
      <c r="O289" s="587">
        <f t="shared" si="33"/>
        <v>0</v>
      </c>
      <c r="P289" s="587">
        <f t="shared" si="32"/>
        <v>0</v>
      </c>
    </row>
    <row r="290" spans="2:16">
      <c r="B290" s="587" t="s">
        <v>868</v>
      </c>
      <c r="C290" s="587" t="s">
        <v>875</v>
      </c>
      <c r="D290" s="587"/>
      <c r="E290" s="587" t="s">
        <v>878</v>
      </c>
      <c r="F290" s="587" t="str">
        <f t="shared" si="29"/>
        <v>Marche à pied au-delà de 5 minutes</v>
      </c>
      <c r="G290" s="587">
        <f t="shared" si="30"/>
        <v>7</v>
      </c>
      <c r="H290" s="587"/>
      <c r="I290" s="587">
        <v>25</v>
      </c>
      <c r="J290" s="587">
        <f t="shared" si="31"/>
        <v>0</v>
      </c>
      <c r="K290" s="587"/>
      <c r="L290" s="587"/>
      <c r="M290" s="587">
        <f t="shared" si="33"/>
        <v>0</v>
      </c>
      <c r="N290" s="587">
        <f t="shared" si="33"/>
        <v>7</v>
      </c>
      <c r="O290" s="587">
        <f t="shared" si="33"/>
        <v>0</v>
      </c>
      <c r="P290" s="587">
        <f t="shared" si="32"/>
        <v>0</v>
      </c>
    </row>
    <row r="291" spans="2:16">
      <c r="B291" s="587" t="s">
        <v>868</v>
      </c>
      <c r="C291" s="587" t="s">
        <v>35</v>
      </c>
      <c r="D291" s="587" t="s">
        <v>872</v>
      </c>
      <c r="E291" s="587"/>
      <c r="F291" s="587" t="str">
        <f t="shared" si="29"/>
        <v>Vélo personnel (y compris vélo à assistance électrique)</v>
      </c>
      <c r="G291" s="587">
        <f t="shared" si="30"/>
        <v>7</v>
      </c>
      <c r="H291" s="587"/>
      <c r="I291" s="587">
        <v>12</v>
      </c>
      <c r="J291" s="587">
        <f t="shared" si="31"/>
        <v>0</v>
      </c>
      <c r="K291" s="587"/>
      <c r="L291" s="587"/>
      <c r="M291" s="587">
        <f t="shared" si="33"/>
        <v>0</v>
      </c>
      <c r="N291" s="587">
        <f t="shared" si="33"/>
        <v>0</v>
      </c>
      <c r="O291" s="587">
        <f t="shared" si="33"/>
        <v>0</v>
      </c>
      <c r="P291" s="587">
        <f t="shared" si="32"/>
        <v>7</v>
      </c>
    </row>
    <row r="292" spans="2:16">
      <c r="B292" s="587" t="s">
        <v>868</v>
      </c>
      <c r="C292" s="587" t="s">
        <v>869</v>
      </c>
      <c r="D292" s="587" t="s">
        <v>871</v>
      </c>
      <c r="E292" s="587"/>
      <c r="F292" s="587" t="str">
        <f t="shared" si="29"/>
        <v>Marche à pied (exclusivement sur tout le trajet)</v>
      </c>
      <c r="G292" s="587">
        <f t="shared" si="30"/>
        <v>7</v>
      </c>
      <c r="H292" s="587"/>
      <c r="I292" s="587">
        <v>5</v>
      </c>
      <c r="J292" s="587">
        <f t="shared" si="31"/>
        <v>0</v>
      </c>
      <c r="K292" s="587"/>
      <c r="L292" s="587"/>
      <c r="M292" s="587">
        <f t="shared" si="33"/>
        <v>7</v>
      </c>
      <c r="N292" s="587">
        <f t="shared" si="33"/>
        <v>0</v>
      </c>
      <c r="O292" s="587">
        <f t="shared" si="33"/>
        <v>0</v>
      </c>
      <c r="P292" s="587">
        <f t="shared" si="32"/>
        <v>0</v>
      </c>
    </row>
    <row r="293" spans="2:16">
      <c r="B293" s="587" t="s">
        <v>868</v>
      </c>
      <c r="C293" s="587" t="s">
        <v>869</v>
      </c>
      <c r="D293" s="587" t="s">
        <v>871</v>
      </c>
      <c r="E293" s="587"/>
      <c r="F293" s="587" t="str">
        <f t="shared" si="29"/>
        <v>Marche à pied (exclusivement sur tout le trajet)</v>
      </c>
      <c r="G293" s="587">
        <f t="shared" si="30"/>
        <v>7</v>
      </c>
      <c r="H293" s="587"/>
      <c r="I293" s="587">
        <v>1</v>
      </c>
      <c r="J293" s="587">
        <f t="shared" si="31"/>
        <v>0</v>
      </c>
      <c r="K293" s="587"/>
      <c r="L293" s="587"/>
      <c r="M293" s="587">
        <f t="shared" si="33"/>
        <v>7</v>
      </c>
      <c r="N293" s="587">
        <f t="shared" si="33"/>
        <v>0</v>
      </c>
      <c r="O293" s="587">
        <f t="shared" si="33"/>
        <v>0</v>
      </c>
      <c r="P293" s="587">
        <f t="shared" si="32"/>
        <v>0</v>
      </c>
    </row>
    <row r="294" spans="2:16">
      <c r="B294" s="587" t="s">
        <v>868</v>
      </c>
      <c r="C294" s="587" t="s">
        <v>882</v>
      </c>
      <c r="D294" s="587" t="s">
        <v>879</v>
      </c>
      <c r="E294" s="587"/>
      <c r="F294" s="587" t="str">
        <f t="shared" si="29"/>
        <v>Voiture (seul(e))</v>
      </c>
      <c r="G294" s="587">
        <f t="shared" si="30"/>
        <v>3</v>
      </c>
      <c r="H294" s="587"/>
      <c r="I294" s="587">
        <v>40</v>
      </c>
      <c r="J294" s="587">
        <f t="shared" si="31"/>
        <v>2.7600000000000002</v>
      </c>
      <c r="K294" s="587"/>
      <c r="L294" s="587"/>
      <c r="M294" s="587">
        <f t="shared" si="33"/>
        <v>0</v>
      </c>
      <c r="N294" s="587">
        <f t="shared" si="33"/>
        <v>0</v>
      </c>
      <c r="O294" s="587">
        <f t="shared" si="33"/>
        <v>3</v>
      </c>
      <c r="P294" s="587">
        <f t="shared" si="32"/>
        <v>0</v>
      </c>
    </row>
    <row r="295" spans="2:16">
      <c r="B295" s="587" t="s">
        <v>868</v>
      </c>
      <c r="C295" s="587" t="s">
        <v>869</v>
      </c>
      <c r="D295" s="587" t="s">
        <v>871</v>
      </c>
      <c r="E295" s="587"/>
      <c r="F295" s="587" t="str">
        <f t="shared" si="29"/>
        <v>Marche à pied (exclusivement sur tout le trajet)</v>
      </c>
      <c r="G295" s="587">
        <f t="shared" si="30"/>
        <v>7</v>
      </c>
      <c r="H295" s="587"/>
      <c r="I295" s="587">
        <v>5</v>
      </c>
      <c r="J295" s="587">
        <f t="shared" si="31"/>
        <v>0</v>
      </c>
      <c r="K295" s="587"/>
      <c r="L295" s="587"/>
      <c r="M295" s="587">
        <f t="shared" si="33"/>
        <v>7</v>
      </c>
      <c r="N295" s="587">
        <f t="shared" si="33"/>
        <v>0</v>
      </c>
      <c r="O295" s="587">
        <f t="shared" si="33"/>
        <v>0</v>
      </c>
      <c r="P295" s="587">
        <f t="shared" si="32"/>
        <v>0</v>
      </c>
    </row>
    <row r="296" spans="2:16">
      <c r="B296" s="587" t="s">
        <v>868</v>
      </c>
      <c r="C296" s="587" t="s">
        <v>875</v>
      </c>
      <c r="D296" s="587"/>
      <c r="E296" s="587" t="s">
        <v>873</v>
      </c>
      <c r="F296" s="587" t="str">
        <f t="shared" si="29"/>
        <v>Tramway</v>
      </c>
      <c r="G296" s="587">
        <f t="shared" si="30"/>
        <v>1</v>
      </c>
      <c r="H296" s="587"/>
      <c r="I296" s="587">
        <v>35</v>
      </c>
      <c r="J296" s="587">
        <f t="shared" si="31"/>
        <v>4.8833333333333326E-2</v>
      </c>
      <c r="K296" s="587"/>
      <c r="L296" s="587"/>
      <c r="M296" s="587">
        <f t="shared" si="33"/>
        <v>0</v>
      </c>
      <c r="N296" s="587">
        <f t="shared" si="33"/>
        <v>1</v>
      </c>
      <c r="O296" s="587">
        <f t="shared" si="33"/>
        <v>0</v>
      </c>
      <c r="P296" s="587">
        <f t="shared" si="32"/>
        <v>0</v>
      </c>
    </row>
    <row r="297" spans="2:16">
      <c r="B297" s="587" t="s">
        <v>868</v>
      </c>
      <c r="C297" s="587" t="s">
        <v>882</v>
      </c>
      <c r="D297" s="587"/>
      <c r="E297" s="587" t="s">
        <v>879</v>
      </c>
      <c r="F297" s="587" t="str">
        <f t="shared" si="29"/>
        <v>Voiture (seul(e))</v>
      </c>
      <c r="G297" s="587">
        <f t="shared" si="30"/>
        <v>3</v>
      </c>
      <c r="H297" s="587"/>
      <c r="I297" s="587">
        <v>25</v>
      </c>
      <c r="J297" s="587">
        <f t="shared" si="31"/>
        <v>2.7600000000000002</v>
      </c>
      <c r="K297" s="587"/>
      <c r="L297" s="587"/>
      <c r="M297" s="587">
        <f t="shared" si="33"/>
        <v>0</v>
      </c>
      <c r="N297" s="587">
        <f t="shared" si="33"/>
        <v>0</v>
      </c>
      <c r="O297" s="587">
        <f t="shared" si="33"/>
        <v>3</v>
      </c>
      <c r="P297" s="587">
        <f t="shared" si="32"/>
        <v>0</v>
      </c>
    </row>
    <row r="298" spans="2:16">
      <c r="B298" s="587" t="s">
        <v>868</v>
      </c>
      <c r="C298" s="587" t="s">
        <v>875</v>
      </c>
      <c r="D298" s="587" t="s">
        <v>879</v>
      </c>
      <c r="E298" s="587"/>
      <c r="F298" s="587" t="str">
        <f t="shared" si="29"/>
        <v>Voiture (seul(e))</v>
      </c>
      <c r="G298" s="587">
        <f t="shared" si="30"/>
        <v>3</v>
      </c>
      <c r="H298" s="587"/>
      <c r="I298" s="587">
        <v>35</v>
      </c>
      <c r="J298" s="587">
        <f t="shared" si="31"/>
        <v>2.7600000000000002</v>
      </c>
      <c r="K298" s="587"/>
      <c r="L298" s="587"/>
      <c r="M298" s="587">
        <f t="shared" si="33"/>
        <v>0</v>
      </c>
      <c r="N298" s="587">
        <f t="shared" si="33"/>
        <v>3</v>
      </c>
      <c r="O298" s="587">
        <f t="shared" si="33"/>
        <v>0</v>
      </c>
      <c r="P298" s="587">
        <f t="shared" si="32"/>
        <v>0</v>
      </c>
    </row>
    <row r="299" spans="2:16">
      <c r="B299" s="587" t="s">
        <v>868</v>
      </c>
      <c r="C299" s="587" t="s">
        <v>875</v>
      </c>
      <c r="D299" s="587" t="s">
        <v>879</v>
      </c>
      <c r="E299" s="587"/>
      <c r="F299" s="587" t="str">
        <f t="shared" si="29"/>
        <v>Voiture (seul(e))</v>
      </c>
      <c r="G299" s="587">
        <f t="shared" si="30"/>
        <v>3</v>
      </c>
      <c r="H299" s="587"/>
      <c r="I299" s="587">
        <v>35</v>
      </c>
      <c r="J299" s="587">
        <f t="shared" si="31"/>
        <v>2.7600000000000002</v>
      </c>
      <c r="K299" s="587"/>
      <c r="L299" s="587"/>
      <c r="M299" s="587">
        <f t="shared" si="33"/>
        <v>0</v>
      </c>
      <c r="N299" s="587">
        <f t="shared" si="33"/>
        <v>3</v>
      </c>
      <c r="O299" s="587">
        <f t="shared" si="33"/>
        <v>0</v>
      </c>
      <c r="P299" s="587">
        <f t="shared" si="32"/>
        <v>0</v>
      </c>
    </row>
    <row r="300" spans="2:16">
      <c r="B300" s="587" t="s">
        <v>868</v>
      </c>
      <c r="C300" s="587" t="s">
        <v>882</v>
      </c>
      <c r="D300" s="587" t="s">
        <v>873</v>
      </c>
      <c r="E300" s="587"/>
      <c r="F300" s="587" t="str">
        <f t="shared" si="29"/>
        <v>Tramway</v>
      </c>
      <c r="G300" s="587">
        <f t="shared" si="30"/>
        <v>1</v>
      </c>
      <c r="H300" s="587"/>
      <c r="I300" s="587">
        <v>30</v>
      </c>
      <c r="J300" s="587">
        <f t="shared" si="31"/>
        <v>4.8833333333333326E-2</v>
      </c>
      <c r="K300" s="587"/>
      <c r="L300" s="587"/>
      <c r="M300" s="587">
        <f t="shared" si="33"/>
        <v>0</v>
      </c>
      <c r="N300" s="587">
        <f t="shared" si="33"/>
        <v>0</v>
      </c>
      <c r="O300" s="587">
        <f t="shared" si="33"/>
        <v>1</v>
      </c>
      <c r="P300" s="587">
        <f t="shared" si="32"/>
        <v>0</v>
      </c>
    </row>
    <row r="301" spans="2:16">
      <c r="B301" s="587" t="s">
        <v>868</v>
      </c>
      <c r="C301" s="587" t="s">
        <v>882</v>
      </c>
      <c r="D301" s="587" t="s">
        <v>879</v>
      </c>
      <c r="E301" s="587"/>
      <c r="F301" s="587" t="str">
        <f t="shared" si="29"/>
        <v>Voiture (seul(e))</v>
      </c>
      <c r="G301" s="587">
        <f t="shared" si="30"/>
        <v>3</v>
      </c>
      <c r="H301" s="587"/>
      <c r="I301" s="587">
        <v>20</v>
      </c>
      <c r="J301" s="587">
        <f t="shared" si="31"/>
        <v>2.7600000000000002</v>
      </c>
      <c r="K301" s="587"/>
      <c r="L301" s="587"/>
      <c r="M301" s="587">
        <f t="shared" si="33"/>
        <v>0</v>
      </c>
      <c r="N301" s="587">
        <f t="shared" si="33"/>
        <v>0</v>
      </c>
      <c r="O301" s="587">
        <f t="shared" si="33"/>
        <v>3</v>
      </c>
      <c r="P301" s="587">
        <f t="shared" si="32"/>
        <v>0</v>
      </c>
    </row>
    <row r="302" spans="2:16">
      <c r="B302" s="587" t="s">
        <v>868</v>
      </c>
      <c r="C302" s="587" t="s">
        <v>882</v>
      </c>
      <c r="D302" s="587"/>
      <c r="E302" s="587" t="s">
        <v>879</v>
      </c>
      <c r="F302" s="587" t="str">
        <f t="shared" si="29"/>
        <v>Voiture (seul(e))</v>
      </c>
      <c r="G302" s="587">
        <f t="shared" si="30"/>
        <v>3</v>
      </c>
      <c r="H302" s="587"/>
      <c r="I302" s="587">
        <v>90</v>
      </c>
      <c r="J302" s="587">
        <f t="shared" si="31"/>
        <v>2.7600000000000002</v>
      </c>
      <c r="K302" s="587"/>
      <c r="L302" s="587"/>
      <c r="M302" s="587">
        <f t="shared" si="33"/>
        <v>0</v>
      </c>
      <c r="N302" s="587">
        <f t="shared" si="33"/>
        <v>0</v>
      </c>
      <c r="O302" s="587">
        <f t="shared" si="33"/>
        <v>3</v>
      </c>
      <c r="P302" s="587">
        <f t="shared" si="32"/>
        <v>0</v>
      </c>
    </row>
    <row r="303" spans="2:16">
      <c r="B303" s="587" t="s">
        <v>868</v>
      </c>
      <c r="C303" s="587" t="s">
        <v>869</v>
      </c>
      <c r="D303" s="587" t="s">
        <v>871</v>
      </c>
      <c r="E303" s="587"/>
      <c r="F303" s="587" t="str">
        <f t="shared" si="29"/>
        <v>Marche à pied (exclusivement sur tout le trajet)</v>
      </c>
      <c r="G303" s="587">
        <f t="shared" si="30"/>
        <v>7</v>
      </c>
      <c r="H303" s="587"/>
      <c r="I303" s="587">
        <v>2</v>
      </c>
      <c r="J303" s="587">
        <f t="shared" si="31"/>
        <v>0</v>
      </c>
      <c r="K303" s="587"/>
      <c r="L303" s="587"/>
      <c r="M303" s="587">
        <f t="shared" si="33"/>
        <v>7</v>
      </c>
      <c r="N303" s="587">
        <f t="shared" si="33"/>
        <v>0</v>
      </c>
      <c r="O303" s="587">
        <f t="shared" si="33"/>
        <v>0</v>
      </c>
      <c r="P303" s="587">
        <f t="shared" si="32"/>
        <v>0</v>
      </c>
    </row>
    <row r="304" spans="2:16">
      <c r="B304" s="587" t="s">
        <v>868</v>
      </c>
      <c r="C304" s="587" t="s">
        <v>869</v>
      </c>
      <c r="D304" s="587" t="s">
        <v>872</v>
      </c>
      <c r="E304" s="587"/>
      <c r="F304" s="587" t="str">
        <f t="shared" ref="F304:F367" si="34">IF(D304="",E304,D304)</f>
        <v>Vélo personnel (y compris vélo à assistance électrique)</v>
      </c>
      <c r="G304" s="587">
        <f t="shared" ref="G304:G367" si="35">IF(F304="Métro",1,IF(F304="Tramway",1,IF(F304="Vélo'v",7,IF(F304="Marche à pied (exclusivement sur tout le trajet)",7,IF(F304="Vélo personnel (y compris vélo à assistance électrique)",7,IF(F304="Trottinette, roller, skateboard,…",7,IF(F304="Marche à pied au-delà de 5 minutes",7,IF(F304="Voiture (seul(e))",3,IF(F304="Bus",2,IF(F304="Trottinette, roller, skateboard au-delà de 5 minutes",7,IF(F304="Covoiturage (passager(ère))",4,IF(F304="Trottinette, roller, skateboard,...",7,IF(F304="Vélo’v",7,IF(F304="Train (TER,TGV,...)",6,IF(F304="Deux roues motorisées (moto, scooter, mobylette,…)",5,IF(F304="Covoiturage (conducteur(trice))",4,IF(F304="Train (TER,..)",6,0)))))))))))))))))</f>
        <v>7</v>
      </c>
      <c r="H304" s="587"/>
      <c r="I304" s="587">
        <v>5</v>
      </c>
      <c r="J304" s="587">
        <f t="shared" ref="J304:J367" si="36">IF(G304=1,$C$6*($I$28*$K$6)/$J$6,IF(G304=2,$C$7*($I$28*$K$7)/$J$7,IF(G304=3,$C$8*$I$28*$K$8/$J$8,IF(G304=4,$C$9*$I$28*$K$9/$J$9,IF(G304=5,$C$10*$I$28*$K$10/$J$10,IF(G304=6,$C$11*$K$11*$I$28/$J$11,0))))))</f>
        <v>0</v>
      </c>
      <c r="K304" s="587"/>
      <c r="L304" s="587"/>
      <c r="M304" s="587">
        <f t="shared" si="33"/>
        <v>7</v>
      </c>
      <c r="N304" s="587">
        <f t="shared" si="33"/>
        <v>0</v>
      </c>
      <c r="O304" s="587">
        <f t="shared" si="33"/>
        <v>0</v>
      </c>
      <c r="P304" s="587">
        <f t="shared" si="32"/>
        <v>0</v>
      </c>
    </row>
    <row r="305" spans="2:16">
      <c r="B305" s="587" t="s">
        <v>868</v>
      </c>
      <c r="C305" s="587" t="s">
        <v>869</v>
      </c>
      <c r="D305" s="587" t="s">
        <v>872</v>
      </c>
      <c r="E305" s="587"/>
      <c r="F305" s="587" t="str">
        <f t="shared" si="34"/>
        <v>Vélo personnel (y compris vélo à assistance électrique)</v>
      </c>
      <c r="G305" s="587">
        <f t="shared" si="35"/>
        <v>7</v>
      </c>
      <c r="H305" s="587"/>
      <c r="I305" s="587">
        <v>5</v>
      </c>
      <c r="J305" s="587">
        <f t="shared" si="36"/>
        <v>0</v>
      </c>
      <c r="K305" s="587"/>
      <c r="L305" s="587"/>
      <c r="M305" s="587">
        <f t="shared" si="33"/>
        <v>7</v>
      </c>
      <c r="N305" s="587">
        <f t="shared" si="33"/>
        <v>0</v>
      </c>
      <c r="O305" s="587">
        <f t="shared" si="33"/>
        <v>0</v>
      </c>
      <c r="P305" s="587">
        <f t="shared" si="32"/>
        <v>0</v>
      </c>
    </row>
    <row r="306" spans="2:16">
      <c r="B306" s="587" t="s">
        <v>868</v>
      </c>
      <c r="C306" s="587" t="s">
        <v>869</v>
      </c>
      <c r="D306" s="587" t="s">
        <v>873</v>
      </c>
      <c r="E306" s="587"/>
      <c r="F306" s="587" t="str">
        <f t="shared" si="34"/>
        <v>Tramway</v>
      </c>
      <c r="G306" s="587">
        <f t="shared" si="35"/>
        <v>1</v>
      </c>
      <c r="H306" s="587"/>
      <c r="I306" s="587">
        <v>35</v>
      </c>
      <c r="J306" s="587">
        <f t="shared" si="36"/>
        <v>4.8833333333333326E-2</v>
      </c>
      <c r="K306" s="587"/>
      <c r="L306" s="587"/>
      <c r="M306" s="587">
        <f t="shared" si="33"/>
        <v>1</v>
      </c>
      <c r="N306" s="587">
        <f t="shared" si="33"/>
        <v>0</v>
      </c>
      <c r="O306" s="587">
        <f t="shared" si="33"/>
        <v>0</v>
      </c>
      <c r="P306" s="587">
        <f t="shared" si="32"/>
        <v>0</v>
      </c>
    </row>
    <row r="307" spans="2:16">
      <c r="B307" s="587" t="s">
        <v>868</v>
      </c>
      <c r="C307" s="587" t="s">
        <v>869</v>
      </c>
      <c r="D307" s="587" t="s">
        <v>871</v>
      </c>
      <c r="E307" s="587"/>
      <c r="F307" s="587" t="str">
        <f t="shared" si="34"/>
        <v>Marche à pied (exclusivement sur tout le trajet)</v>
      </c>
      <c r="G307" s="587">
        <f t="shared" si="35"/>
        <v>7</v>
      </c>
      <c r="H307" s="587"/>
      <c r="I307" s="587">
        <v>3</v>
      </c>
      <c r="J307" s="587">
        <f t="shared" si="36"/>
        <v>0</v>
      </c>
      <c r="K307" s="587"/>
      <c r="L307" s="587"/>
      <c r="M307" s="587">
        <f t="shared" si="33"/>
        <v>7</v>
      </c>
      <c r="N307" s="587">
        <f t="shared" si="33"/>
        <v>0</v>
      </c>
      <c r="O307" s="587">
        <f t="shared" si="33"/>
        <v>0</v>
      </c>
      <c r="P307" s="587">
        <f t="shared" si="32"/>
        <v>0</v>
      </c>
    </row>
    <row r="308" spans="2:16">
      <c r="B308" s="587" t="s">
        <v>868</v>
      </c>
      <c r="C308" s="587" t="s">
        <v>35</v>
      </c>
      <c r="D308" s="587" t="s">
        <v>872</v>
      </c>
      <c r="E308" s="587"/>
      <c r="F308" s="587" t="str">
        <f t="shared" si="34"/>
        <v>Vélo personnel (y compris vélo à assistance électrique)</v>
      </c>
      <c r="G308" s="587">
        <f t="shared" si="35"/>
        <v>7</v>
      </c>
      <c r="H308" s="587"/>
      <c r="I308" s="587">
        <v>12</v>
      </c>
      <c r="J308" s="587">
        <f t="shared" si="36"/>
        <v>0</v>
      </c>
      <c r="K308" s="587"/>
      <c r="L308" s="587"/>
      <c r="M308" s="587">
        <f t="shared" si="33"/>
        <v>0</v>
      </c>
      <c r="N308" s="587">
        <f t="shared" si="33"/>
        <v>0</v>
      </c>
      <c r="O308" s="587">
        <f t="shared" si="33"/>
        <v>0</v>
      </c>
      <c r="P308" s="587">
        <f t="shared" si="32"/>
        <v>7</v>
      </c>
    </row>
    <row r="309" spans="2:16">
      <c r="B309" s="587" t="s">
        <v>868</v>
      </c>
      <c r="C309" s="587" t="s">
        <v>869</v>
      </c>
      <c r="D309" s="587" t="s">
        <v>879</v>
      </c>
      <c r="E309" s="587"/>
      <c r="F309" s="587" t="str">
        <f t="shared" si="34"/>
        <v>Voiture (seul(e))</v>
      </c>
      <c r="G309" s="587">
        <f t="shared" si="35"/>
        <v>3</v>
      </c>
      <c r="H309" s="587"/>
      <c r="I309" s="587">
        <v>35</v>
      </c>
      <c r="J309" s="587">
        <f t="shared" si="36"/>
        <v>2.7600000000000002</v>
      </c>
      <c r="K309" s="587"/>
      <c r="L309" s="587"/>
      <c r="M309" s="587">
        <f t="shared" si="33"/>
        <v>3</v>
      </c>
      <c r="N309" s="587">
        <f t="shared" si="33"/>
        <v>0</v>
      </c>
      <c r="O309" s="587">
        <f t="shared" si="33"/>
        <v>0</v>
      </c>
      <c r="P309" s="587">
        <f t="shared" si="32"/>
        <v>0</v>
      </c>
    </row>
    <row r="310" spans="2:16">
      <c r="B310" s="587" t="s">
        <v>868</v>
      </c>
      <c r="C310" s="587" t="s">
        <v>882</v>
      </c>
      <c r="D310" s="587" t="s">
        <v>879</v>
      </c>
      <c r="E310" s="587"/>
      <c r="F310" s="587" t="str">
        <f t="shared" si="34"/>
        <v>Voiture (seul(e))</v>
      </c>
      <c r="G310" s="587">
        <f t="shared" si="35"/>
        <v>3</v>
      </c>
      <c r="H310" s="587"/>
      <c r="I310" s="587">
        <v>45</v>
      </c>
      <c r="J310" s="587">
        <f t="shared" si="36"/>
        <v>2.7600000000000002</v>
      </c>
      <c r="K310" s="587"/>
      <c r="L310" s="587"/>
      <c r="M310" s="587">
        <f t="shared" si="33"/>
        <v>0</v>
      </c>
      <c r="N310" s="587">
        <f t="shared" si="33"/>
        <v>0</v>
      </c>
      <c r="O310" s="587">
        <f t="shared" si="33"/>
        <v>3</v>
      </c>
      <c r="P310" s="587">
        <f t="shared" si="32"/>
        <v>0</v>
      </c>
    </row>
    <row r="311" spans="2:16">
      <c r="B311" s="587" t="s">
        <v>868</v>
      </c>
      <c r="C311" s="587" t="s">
        <v>869</v>
      </c>
      <c r="D311" s="587" t="s">
        <v>871</v>
      </c>
      <c r="E311" s="587"/>
      <c r="F311" s="587" t="str">
        <f t="shared" si="34"/>
        <v>Marche à pied (exclusivement sur tout le trajet)</v>
      </c>
      <c r="G311" s="587">
        <f t="shared" si="35"/>
        <v>7</v>
      </c>
      <c r="H311" s="587"/>
      <c r="I311" s="587">
        <v>2</v>
      </c>
      <c r="J311" s="587">
        <f t="shared" si="36"/>
        <v>0</v>
      </c>
      <c r="K311" s="587"/>
      <c r="L311" s="587"/>
      <c r="M311" s="587">
        <f t="shared" si="33"/>
        <v>7</v>
      </c>
      <c r="N311" s="587">
        <f t="shared" si="33"/>
        <v>0</v>
      </c>
      <c r="O311" s="587">
        <f t="shared" si="33"/>
        <v>0</v>
      </c>
      <c r="P311" s="587">
        <f t="shared" si="32"/>
        <v>0</v>
      </c>
    </row>
    <row r="312" spans="2:16">
      <c r="B312" s="587" t="s">
        <v>868</v>
      </c>
      <c r="C312" s="587" t="s">
        <v>875</v>
      </c>
      <c r="D312" s="587" t="s">
        <v>872</v>
      </c>
      <c r="E312" s="587"/>
      <c r="F312" s="587" t="str">
        <f t="shared" si="34"/>
        <v>Vélo personnel (y compris vélo à assistance électrique)</v>
      </c>
      <c r="G312" s="587">
        <f t="shared" si="35"/>
        <v>7</v>
      </c>
      <c r="H312" s="587"/>
      <c r="I312" s="587">
        <v>15</v>
      </c>
      <c r="J312" s="587">
        <f t="shared" si="36"/>
        <v>0</v>
      </c>
      <c r="K312" s="587"/>
      <c r="L312" s="587"/>
      <c r="M312" s="587">
        <f t="shared" si="33"/>
        <v>0</v>
      </c>
      <c r="N312" s="587">
        <f t="shared" si="33"/>
        <v>7</v>
      </c>
      <c r="O312" s="587">
        <f t="shared" si="33"/>
        <v>0</v>
      </c>
      <c r="P312" s="587">
        <f t="shared" si="32"/>
        <v>0</v>
      </c>
    </row>
    <row r="313" spans="2:16">
      <c r="B313" s="587" t="s">
        <v>868</v>
      </c>
      <c r="C313" s="587" t="s">
        <v>882</v>
      </c>
      <c r="D313" s="587" t="s">
        <v>872</v>
      </c>
      <c r="E313" s="587"/>
      <c r="F313" s="587" t="str">
        <f t="shared" si="34"/>
        <v>Vélo personnel (y compris vélo à assistance électrique)</v>
      </c>
      <c r="G313" s="587">
        <f t="shared" si="35"/>
        <v>7</v>
      </c>
      <c r="H313" s="587"/>
      <c r="I313" s="587">
        <v>20</v>
      </c>
      <c r="J313" s="587">
        <f t="shared" si="36"/>
        <v>0</v>
      </c>
      <c r="K313" s="587"/>
      <c r="L313" s="587"/>
      <c r="M313" s="587">
        <f t="shared" si="33"/>
        <v>0</v>
      </c>
      <c r="N313" s="587">
        <f t="shared" si="33"/>
        <v>0</v>
      </c>
      <c r="O313" s="587">
        <f t="shared" si="33"/>
        <v>7</v>
      </c>
      <c r="P313" s="587">
        <f t="shared" si="32"/>
        <v>0</v>
      </c>
    </row>
    <row r="314" spans="2:16">
      <c r="B314" s="587" t="s">
        <v>868</v>
      </c>
      <c r="C314" s="587" t="s">
        <v>869</v>
      </c>
      <c r="D314" s="587" t="s">
        <v>873</v>
      </c>
      <c r="E314" s="587"/>
      <c r="F314" s="587" t="str">
        <f t="shared" si="34"/>
        <v>Tramway</v>
      </c>
      <c r="G314" s="587">
        <f t="shared" si="35"/>
        <v>1</v>
      </c>
      <c r="H314" s="587"/>
      <c r="I314" s="587">
        <v>20</v>
      </c>
      <c r="J314" s="587">
        <f t="shared" si="36"/>
        <v>4.8833333333333326E-2</v>
      </c>
      <c r="K314" s="587"/>
      <c r="L314" s="587"/>
      <c r="M314" s="587">
        <f t="shared" si="33"/>
        <v>1</v>
      </c>
      <c r="N314" s="587">
        <f t="shared" si="33"/>
        <v>0</v>
      </c>
      <c r="O314" s="587">
        <f t="shared" si="33"/>
        <v>0</v>
      </c>
      <c r="P314" s="587">
        <f t="shared" si="32"/>
        <v>0</v>
      </c>
    </row>
    <row r="315" spans="2:16">
      <c r="B315" s="587" t="s">
        <v>868</v>
      </c>
      <c r="C315" s="587" t="s">
        <v>869</v>
      </c>
      <c r="D315" s="587"/>
      <c r="E315" s="587" t="s">
        <v>870</v>
      </c>
      <c r="F315" s="587" t="str">
        <f t="shared" si="34"/>
        <v>Métro</v>
      </c>
      <c r="G315" s="587">
        <f t="shared" si="35"/>
        <v>1</v>
      </c>
      <c r="H315" s="587"/>
      <c r="I315" s="587">
        <v>30</v>
      </c>
      <c r="J315" s="587">
        <f t="shared" si="36"/>
        <v>4.8833333333333326E-2</v>
      </c>
      <c r="K315" s="587"/>
      <c r="L315" s="587"/>
      <c r="M315" s="587">
        <f t="shared" si="33"/>
        <v>1</v>
      </c>
      <c r="N315" s="587">
        <f t="shared" si="33"/>
        <v>0</v>
      </c>
      <c r="O315" s="587">
        <f t="shared" si="33"/>
        <v>0</v>
      </c>
      <c r="P315" s="587">
        <f t="shared" si="32"/>
        <v>0</v>
      </c>
    </row>
    <row r="316" spans="2:16">
      <c r="B316" s="587" t="s">
        <v>868</v>
      </c>
      <c r="C316" s="587" t="s">
        <v>882</v>
      </c>
      <c r="D316" s="587"/>
      <c r="E316" s="587" t="s">
        <v>870</v>
      </c>
      <c r="F316" s="587" t="str">
        <f t="shared" si="34"/>
        <v>Métro</v>
      </c>
      <c r="G316" s="587">
        <f t="shared" si="35"/>
        <v>1</v>
      </c>
      <c r="H316" s="587"/>
      <c r="I316" s="587">
        <v>30</v>
      </c>
      <c r="J316" s="587">
        <f t="shared" si="36"/>
        <v>4.8833333333333326E-2</v>
      </c>
      <c r="K316" s="587"/>
      <c r="L316" s="587"/>
      <c r="M316" s="587">
        <f t="shared" si="33"/>
        <v>0</v>
      </c>
      <c r="N316" s="587">
        <f t="shared" si="33"/>
        <v>0</v>
      </c>
      <c r="O316" s="587">
        <f t="shared" si="33"/>
        <v>1</v>
      </c>
      <c r="P316" s="587">
        <f t="shared" si="32"/>
        <v>0</v>
      </c>
    </row>
    <row r="317" spans="2:16">
      <c r="B317" s="587" t="s">
        <v>868</v>
      </c>
      <c r="C317" s="587" t="s">
        <v>869</v>
      </c>
      <c r="D317" s="587" t="s">
        <v>871</v>
      </c>
      <c r="E317" s="587"/>
      <c r="F317" s="587" t="str">
        <f t="shared" si="34"/>
        <v>Marche à pied (exclusivement sur tout le trajet)</v>
      </c>
      <c r="G317" s="587">
        <f t="shared" si="35"/>
        <v>7</v>
      </c>
      <c r="H317" s="587"/>
      <c r="I317" s="587">
        <v>1</v>
      </c>
      <c r="J317" s="587">
        <f t="shared" si="36"/>
        <v>0</v>
      </c>
      <c r="K317" s="587"/>
      <c r="L317" s="587"/>
      <c r="M317" s="587">
        <f t="shared" si="33"/>
        <v>7</v>
      </c>
      <c r="N317" s="587">
        <f t="shared" si="33"/>
        <v>0</v>
      </c>
      <c r="O317" s="587">
        <f t="shared" si="33"/>
        <v>0</v>
      </c>
      <c r="P317" s="587">
        <f t="shared" si="32"/>
        <v>0</v>
      </c>
    </row>
    <row r="318" spans="2:16">
      <c r="B318" s="587" t="s">
        <v>868</v>
      </c>
      <c r="C318" s="587" t="s">
        <v>869</v>
      </c>
      <c r="D318" s="587" t="s">
        <v>871</v>
      </c>
      <c r="E318" s="587"/>
      <c r="F318" s="587" t="str">
        <f t="shared" si="34"/>
        <v>Marche à pied (exclusivement sur tout le trajet)</v>
      </c>
      <c r="G318" s="587">
        <f t="shared" si="35"/>
        <v>7</v>
      </c>
      <c r="H318" s="587"/>
      <c r="I318" s="587">
        <v>5</v>
      </c>
      <c r="J318" s="587">
        <f t="shared" si="36"/>
        <v>0</v>
      </c>
      <c r="K318" s="587"/>
      <c r="L318" s="587"/>
      <c r="M318" s="587">
        <f t="shared" si="33"/>
        <v>7</v>
      </c>
      <c r="N318" s="587">
        <f t="shared" si="33"/>
        <v>0</v>
      </c>
      <c r="O318" s="587">
        <f t="shared" si="33"/>
        <v>0</v>
      </c>
      <c r="P318" s="587">
        <f t="shared" si="32"/>
        <v>0</v>
      </c>
    </row>
    <row r="319" spans="2:16">
      <c r="B319" s="587" t="s">
        <v>868</v>
      </c>
      <c r="C319" s="587" t="s">
        <v>35</v>
      </c>
      <c r="D319" s="587" t="s">
        <v>872</v>
      </c>
      <c r="E319" s="587"/>
      <c r="F319" s="587" t="str">
        <f t="shared" si="34"/>
        <v>Vélo personnel (y compris vélo à assistance électrique)</v>
      </c>
      <c r="G319" s="587">
        <f t="shared" si="35"/>
        <v>7</v>
      </c>
      <c r="H319" s="587"/>
      <c r="I319" s="587">
        <v>18</v>
      </c>
      <c r="J319" s="587">
        <f t="shared" si="36"/>
        <v>0</v>
      </c>
      <c r="K319" s="587"/>
      <c r="L319" s="587"/>
      <c r="M319" s="587">
        <f t="shared" si="33"/>
        <v>0</v>
      </c>
      <c r="N319" s="587">
        <f t="shared" si="33"/>
        <v>0</v>
      </c>
      <c r="O319" s="587">
        <f t="shared" si="33"/>
        <v>0</v>
      </c>
      <c r="P319" s="587">
        <f t="shared" si="32"/>
        <v>7</v>
      </c>
    </row>
    <row r="320" spans="2:16">
      <c r="B320" s="587" t="s">
        <v>868</v>
      </c>
      <c r="C320" s="587" t="s">
        <v>875</v>
      </c>
      <c r="D320" s="587" t="s">
        <v>872</v>
      </c>
      <c r="E320" s="587"/>
      <c r="F320" s="587" t="str">
        <f t="shared" si="34"/>
        <v>Vélo personnel (y compris vélo à assistance électrique)</v>
      </c>
      <c r="G320" s="587">
        <f t="shared" si="35"/>
        <v>7</v>
      </c>
      <c r="H320" s="587"/>
      <c r="I320" s="587">
        <v>20</v>
      </c>
      <c r="J320" s="587">
        <f t="shared" si="36"/>
        <v>0</v>
      </c>
      <c r="K320" s="587"/>
      <c r="L320" s="587"/>
      <c r="M320" s="587">
        <f t="shared" si="33"/>
        <v>0</v>
      </c>
      <c r="N320" s="587">
        <f t="shared" si="33"/>
        <v>7</v>
      </c>
      <c r="O320" s="587">
        <f t="shared" si="33"/>
        <v>0</v>
      </c>
      <c r="P320" s="587">
        <f t="shared" si="32"/>
        <v>0</v>
      </c>
    </row>
    <row r="321" spans="2:16">
      <c r="B321" s="587" t="s">
        <v>868</v>
      </c>
      <c r="C321" s="587" t="s">
        <v>869</v>
      </c>
      <c r="D321" s="587"/>
      <c r="E321" s="587" t="s">
        <v>873</v>
      </c>
      <c r="F321" s="587" t="str">
        <f t="shared" si="34"/>
        <v>Tramway</v>
      </c>
      <c r="G321" s="587">
        <f t="shared" si="35"/>
        <v>1</v>
      </c>
      <c r="H321" s="587"/>
      <c r="I321" s="587">
        <v>60</v>
      </c>
      <c r="J321" s="587">
        <f t="shared" si="36"/>
        <v>4.8833333333333326E-2</v>
      </c>
      <c r="K321" s="587"/>
      <c r="L321" s="587"/>
      <c r="M321" s="587">
        <f t="shared" si="33"/>
        <v>1</v>
      </c>
      <c r="N321" s="587">
        <f t="shared" si="33"/>
        <v>0</v>
      </c>
      <c r="O321" s="587">
        <f t="shared" si="33"/>
        <v>0</v>
      </c>
      <c r="P321" s="587">
        <f t="shared" si="32"/>
        <v>0</v>
      </c>
    </row>
    <row r="322" spans="2:16">
      <c r="B322" s="587" t="s">
        <v>868</v>
      </c>
      <c r="C322" s="587" t="s">
        <v>875</v>
      </c>
      <c r="D322" s="587"/>
      <c r="E322" s="587" t="s">
        <v>870</v>
      </c>
      <c r="F322" s="587" t="str">
        <f t="shared" si="34"/>
        <v>Métro</v>
      </c>
      <c r="G322" s="587">
        <f t="shared" si="35"/>
        <v>1</v>
      </c>
      <c r="H322" s="587"/>
      <c r="I322" s="587">
        <v>30</v>
      </c>
      <c r="J322" s="587">
        <f t="shared" si="36"/>
        <v>4.8833333333333326E-2</v>
      </c>
      <c r="K322" s="587"/>
      <c r="L322" s="587"/>
      <c r="M322" s="587">
        <f t="shared" si="33"/>
        <v>0</v>
      </c>
      <c r="N322" s="587">
        <f t="shared" si="33"/>
        <v>1</v>
      </c>
      <c r="O322" s="587">
        <f t="shared" si="33"/>
        <v>0</v>
      </c>
      <c r="P322" s="587">
        <f t="shared" si="32"/>
        <v>0</v>
      </c>
    </row>
    <row r="323" spans="2:16">
      <c r="B323" s="587" t="s">
        <v>868</v>
      </c>
      <c r="C323" s="587" t="s">
        <v>869</v>
      </c>
      <c r="D323" s="587" t="s">
        <v>876</v>
      </c>
      <c r="E323" s="587"/>
      <c r="F323" s="587" t="str">
        <f t="shared" si="34"/>
        <v>Trottinette, roller, skateboard,...</v>
      </c>
      <c r="G323" s="587">
        <f t="shared" si="35"/>
        <v>7</v>
      </c>
      <c r="H323" s="587"/>
      <c r="I323" s="587">
        <v>7</v>
      </c>
      <c r="J323" s="587">
        <f t="shared" si="36"/>
        <v>0</v>
      </c>
      <c r="K323" s="587"/>
      <c r="L323" s="587"/>
      <c r="M323" s="587">
        <f t="shared" si="33"/>
        <v>7</v>
      </c>
      <c r="N323" s="587">
        <f t="shared" si="33"/>
        <v>0</v>
      </c>
      <c r="O323" s="587">
        <f t="shared" si="33"/>
        <v>0</v>
      </c>
      <c r="P323" s="587">
        <f t="shared" si="32"/>
        <v>0</v>
      </c>
    </row>
    <row r="324" spans="2:16">
      <c r="B324" s="587" t="s">
        <v>868</v>
      </c>
      <c r="C324" s="587" t="s">
        <v>875</v>
      </c>
      <c r="D324" s="587" t="s">
        <v>879</v>
      </c>
      <c r="E324" s="587"/>
      <c r="F324" s="587" t="str">
        <f t="shared" si="34"/>
        <v>Voiture (seul(e))</v>
      </c>
      <c r="G324" s="587">
        <f t="shared" si="35"/>
        <v>3</v>
      </c>
      <c r="H324" s="587"/>
      <c r="I324" s="587">
        <v>90</v>
      </c>
      <c r="J324" s="587">
        <f t="shared" si="36"/>
        <v>2.7600000000000002</v>
      </c>
      <c r="K324" s="587"/>
      <c r="L324" s="587"/>
      <c r="M324" s="587">
        <f t="shared" si="33"/>
        <v>0</v>
      </c>
      <c r="N324" s="587">
        <f t="shared" si="33"/>
        <v>3</v>
      </c>
      <c r="O324" s="587">
        <f t="shared" si="33"/>
        <v>0</v>
      </c>
      <c r="P324" s="587">
        <f t="shared" si="32"/>
        <v>0</v>
      </c>
    </row>
    <row r="325" spans="2:16">
      <c r="B325" s="587" t="s">
        <v>868</v>
      </c>
      <c r="C325" s="587" t="s">
        <v>35</v>
      </c>
      <c r="D325" s="587" t="s">
        <v>879</v>
      </c>
      <c r="E325" s="587"/>
      <c r="F325" s="587" t="str">
        <f t="shared" si="34"/>
        <v>Voiture (seul(e))</v>
      </c>
      <c r="G325" s="587">
        <f t="shared" si="35"/>
        <v>3</v>
      </c>
      <c r="H325" s="587"/>
      <c r="I325" s="587">
        <v>15</v>
      </c>
      <c r="J325" s="587">
        <f t="shared" si="36"/>
        <v>2.7600000000000002</v>
      </c>
      <c r="K325" s="587"/>
      <c r="L325" s="587"/>
      <c r="M325" s="587">
        <f t="shared" si="33"/>
        <v>0</v>
      </c>
      <c r="N325" s="587">
        <f t="shared" si="33"/>
        <v>0</v>
      </c>
      <c r="O325" s="587">
        <f t="shared" si="33"/>
        <v>0</v>
      </c>
      <c r="P325" s="587">
        <f t="shared" si="32"/>
        <v>3</v>
      </c>
    </row>
    <row r="326" spans="2:16">
      <c r="B326" s="587" t="s">
        <v>868</v>
      </c>
      <c r="C326" s="587" t="s">
        <v>869</v>
      </c>
      <c r="D326" s="587" t="s">
        <v>876</v>
      </c>
      <c r="E326" s="587"/>
      <c r="F326" s="587" t="str">
        <f t="shared" si="34"/>
        <v>Trottinette, roller, skateboard,...</v>
      </c>
      <c r="G326" s="587">
        <f t="shared" si="35"/>
        <v>7</v>
      </c>
      <c r="H326" s="587"/>
      <c r="I326" s="587">
        <v>10</v>
      </c>
      <c r="J326" s="587">
        <f t="shared" si="36"/>
        <v>0</v>
      </c>
      <c r="K326" s="587"/>
      <c r="L326" s="587"/>
      <c r="M326" s="587">
        <f t="shared" si="33"/>
        <v>7</v>
      </c>
      <c r="N326" s="587">
        <f t="shared" si="33"/>
        <v>0</v>
      </c>
      <c r="O326" s="587">
        <f t="shared" si="33"/>
        <v>0</v>
      </c>
      <c r="P326" s="587">
        <f t="shared" si="32"/>
        <v>0</v>
      </c>
    </row>
    <row r="327" spans="2:16">
      <c r="B327" s="587" t="s">
        <v>868</v>
      </c>
      <c r="C327" s="587" t="s">
        <v>882</v>
      </c>
      <c r="D327" s="587" t="s">
        <v>879</v>
      </c>
      <c r="E327" s="587"/>
      <c r="F327" s="587" t="str">
        <f t="shared" si="34"/>
        <v>Voiture (seul(e))</v>
      </c>
      <c r="G327" s="587">
        <f t="shared" si="35"/>
        <v>3</v>
      </c>
      <c r="H327" s="587"/>
      <c r="I327" s="587">
        <v>20</v>
      </c>
      <c r="J327" s="587">
        <f t="shared" si="36"/>
        <v>2.7600000000000002</v>
      </c>
      <c r="K327" s="587"/>
      <c r="L327" s="587"/>
      <c r="M327" s="587">
        <f t="shared" si="33"/>
        <v>0</v>
      </c>
      <c r="N327" s="587">
        <f t="shared" si="33"/>
        <v>0</v>
      </c>
      <c r="O327" s="587">
        <f t="shared" si="33"/>
        <v>3</v>
      </c>
      <c r="P327" s="587">
        <f t="shared" si="32"/>
        <v>0</v>
      </c>
    </row>
    <row r="328" spans="2:16">
      <c r="B328" s="587" t="s">
        <v>868</v>
      </c>
      <c r="C328" s="587" t="s">
        <v>869</v>
      </c>
      <c r="D328" s="587" t="s">
        <v>871</v>
      </c>
      <c r="E328" s="587"/>
      <c r="F328" s="587" t="str">
        <f t="shared" si="34"/>
        <v>Marche à pied (exclusivement sur tout le trajet)</v>
      </c>
      <c r="G328" s="587">
        <f t="shared" si="35"/>
        <v>7</v>
      </c>
      <c r="H328" s="587"/>
      <c r="I328" s="587">
        <v>10</v>
      </c>
      <c r="J328" s="587">
        <f t="shared" si="36"/>
        <v>0</v>
      </c>
      <c r="K328" s="587"/>
      <c r="L328" s="587"/>
      <c r="M328" s="587">
        <f t="shared" si="33"/>
        <v>7</v>
      </c>
      <c r="N328" s="587">
        <f t="shared" si="33"/>
        <v>0</v>
      </c>
      <c r="O328" s="587">
        <f t="shared" si="33"/>
        <v>0</v>
      </c>
      <c r="P328" s="587">
        <f t="shared" si="32"/>
        <v>0</v>
      </c>
    </row>
    <row r="329" spans="2:16">
      <c r="B329" s="587" t="s">
        <v>868</v>
      </c>
      <c r="C329" s="587" t="s">
        <v>869</v>
      </c>
      <c r="D329" s="587" t="s">
        <v>872</v>
      </c>
      <c r="E329" s="587"/>
      <c r="F329" s="587" t="str">
        <f t="shared" si="34"/>
        <v>Vélo personnel (y compris vélo à assistance électrique)</v>
      </c>
      <c r="G329" s="587">
        <f t="shared" si="35"/>
        <v>7</v>
      </c>
      <c r="H329" s="587"/>
      <c r="I329" s="587">
        <v>10</v>
      </c>
      <c r="J329" s="587">
        <f t="shared" si="36"/>
        <v>0</v>
      </c>
      <c r="K329" s="587"/>
      <c r="L329" s="587"/>
      <c r="M329" s="587">
        <f t="shared" si="33"/>
        <v>7</v>
      </c>
      <c r="N329" s="587">
        <f t="shared" si="33"/>
        <v>0</v>
      </c>
      <c r="O329" s="587">
        <f t="shared" si="33"/>
        <v>0</v>
      </c>
      <c r="P329" s="587">
        <f t="shared" si="32"/>
        <v>0</v>
      </c>
    </row>
    <row r="330" spans="2:16">
      <c r="B330" s="587" t="s">
        <v>868</v>
      </c>
      <c r="C330" s="587" t="s">
        <v>882</v>
      </c>
      <c r="D330" s="587" t="s">
        <v>879</v>
      </c>
      <c r="E330" s="587"/>
      <c r="F330" s="587" t="str">
        <f t="shared" si="34"/>
        <v>Voiture (seul(e))</v>
      </c>
      <c r="G330" s="587">
        <f t="shared" si="35"/>
        <v>3</v>
      </c>
      <c r="H330" s="587"/>
      <c r="I330" s="587">
        <v>30</v>
      </c>
      <c r="J330" s="587">
        <f t="shared" si="36"/>
        <v>2.7600000000000002</v>
      </c>
      <c r="K330" s="587"/>
      <c r="L330" s="587"/>
      <c r="M330" s="587">
        <f t="shared" si="33"/>
        <v>0</v>
      </c>
      <c r="N330" s="587">
        <f t="shared" si="33"/>
        <v>0</v>
      </c>
      <c r="O330" s="587">
        <f t="shared" si="33"/>
        <v>3</v>
      </c>
      <c r="P330" s="587">
        <f t="shared" si="32"/>
        <v>0</v>
      </c>
    </row>
    <row r="331" spans="2:16">
      <c r="B331" s="587" t="s">
        <v>868</v>
      </c>
      <c r="C331" s="587" t="s">
        <v>869</v>
      </c>
      <c r="D331" s="587" t="s">
        <v>871</v>
      </c>
      <c r="E331" s="587"/>
      <c r="F331" s="587" t="str">
        <f t="shared" si="34"/>
        <v>Marche à pied (exclusivement sur tout le trajet)</v>
      </c>
      <c r="G331" s="587">
        <f t="shared" si="35"/>
        <v>7</v>
      </c>
      <c r="H331" s="587"/>
      <c r="I331" s="587">
        <v>6</v>
      </c>
      <c r="J331" s="587">
        <f t="shared" si="36"/>
        <v>0</v>
      </c>
      <c r="K331" s="587"/>
      <c r="L331" s="587"/>
      <c r="M331" s="587">
        <f t="shared" si="33"/>
        <v>7</v>
      </c>
      <c r="N331" s="587">
        <f t="shared" si="33"/>
        <v>0</v>
      </c>
      <c r="O331" s="587">
        <f t="shared" si="33"/>
        <v>0</v>
      </c>
      <c r="P331" s="587">
        <f t="shared" si="32"/>
        <v>0</v>
      </c>
    </row>
    <row r="332" spans="2:16">
      <c r="B332" s="587" t="s">
        <v>868</v>
      </c>
      <c r="C332" s="587" t="s">
        <v>882</v>
      </c>
      <c r="D332" s="587"/>
      <c r="E332" s="587" t="s">
        <v>878</v>
      </c>
      <c r="F332" s="587" t="str">
        <f t="shared" si="34"/>
        <v>Marche à pied au-delà de 5 minutes</v>
      </c>
      <c r="G332" s="587">
        <f t="shared" si="35"/>
        <v>7</v>
      </c>
      <c r="H332" s="587"/>
      <c r="I332" s="587">
        <v>40</v>
      </c>
      <c r="J332" s="587">
        <f t="shared" si="36"/>
        <v>0</v>
      </c>
      <c r="K332" s="587"/>
      <c r="L332" s="587"/>
      <c r="M332" s="587">
        <f t="shared" si="33"/>
        <v>0</v>
      </c>
      <c r="N332" s="587">
        <f t="shared" si="33"/>
        <v>0</v>
      </c>
      <c r="O332" s="587">
        <f t="shared" si="33"/>
        <v>7</v>
      </c>
      <c r="P332" s="587">
        <f t="shared" si="32"/>
        <v>0</v>
      </c>
    </row>
    <row r="333" spans="2:16">
      <c r="B333" s="587" t="s">
        <v>868</v>
      </c>
      <c r="C333" s="587" t="s">
        <v>875</v>
      </c>
      <c r="D333" s="587" t="s">
        <v>872</v>
      </c>
      <c r="E333" s="587"/>
      <c r="F333" s="587" t="str">
        <f t="shared" si="34"/>
        <v>Vélo personnel (y compris vélo à assistance électrique)</v>
      </c>
      <c r="G333" s="587">
        <f t="shared" si="35"/>
        <v>7</v>
      </c>
      <c r="H333" s="587"/>
      <c r="I333" s="587">
        <v>20</v>
      </c>
      <c r="J333" s="587">
        <f t="shared" si="36"/>
        <v>0</v>
      </c>
      <c r="K333" s="587"/>
      <c r="L333" s="587"/>
      <c r="M333" s="587">
        <f t="shared" si="33"/>
        <v>0</v>
      </c>
      <c r="N333" s="587">
        <f t="shared" si="33"/>
        <v>7</v>
      </c>
      <c r="O333" s="587">
        <f t="shared" si="33"/>
        <v>0</v>
      </c>
      <c r="P333" s="587">
        <f t="shared" si="32"/>
        <v>0</v>
      </c>
    </row>
    <row r="334" spans="2:16">
      <c r="B334" s="587" t="s">
        <v>868</v>
      </c>
      <c r="C334" s="587" t="s">
        <v>875</v>
      </c>
      <c r="D334" s="587"/>
      <c r="E334" s="587" t="s">
        <v>877</v>
      </c>
      <c r="F334" s="587" t="str">
        <f t="shared" si="34"/>
        <v>Vélo’v</v>
      </c>
      <c r="G334" s="587">
        <f t="shared" si="35"/>
        <v>7</v>
      </c>
      <c r="H334" s="587"/>
      <c r="I334" s="587">
        <v>16</v>
      </c>
      <c r="J334" s="587">
        <f t="shared" si="36"/>
        <v>0</v>
      </c>
      <c r="K334" s="587"/>
      <c r="L334" s="587"/>
      <c r="M334" s="587">
        <f t="shared" si="33"/>
        <v>0</v>
      </c>
      <c r="N334" s="587">
        <f t="shared" si="33"/>
        <v>7</v>
      </c>
      <c r="O334" s="587">
        <f t="shared" si="33"/>
        <v>0</v>
      </c>
      <c r="P334" s="587">
        <f t="shared" si="32"/>
        <v>0</v>
      </c>
    </row>
    <row r="335" spans="2:16">
      <c r="B335" s="587" t="s">
        <v>868</v>
      </c>
      <c r="C335" s="587" t="s">
        <v>875</v>
      </c>
      <c r="D335" s="587" t="s">
        <v>879</v>
      </c>
      <c r="E335" s="587"/>
      <c r="F335" s="587" t="str">
        <f t="shared" si="34"/>
        <v>Voiture (seul(e))</v>
      </c>
      <c r="G335" s="587">
        <f t="shared" si="35"/>
        <v>3</v>
      </c>
      <c r="H335" s="587"/>
      <c r="I335" s="587">
        <v>45</v>
      </c>
      <c r="J335" s="587">
        <f t="shared" si="36"/>
        <v>2.7600000000000002</v>
      </c>
      <c r="K335" s="587"/>
      <c r="L335" s="587"/>
      <c r="M335" s="587">
        <f t="shared" si="33"/>
        <v>0</v>
      </c>
      <c r="N335" s="587">
        <f t="shared" si="33"/>
        <v>3</v>
      </c>
      <c r="O335" s="587">
        <f t="shared" si="33"/>
        <v>0</v>
      </c>
      <c r="P335" s="587">
        <f t="shared" si="32"/>
        <v>0</v>
      </c>
    </row>
    <row r="336" spans="2:16">
      <c r="B336" s="587" t="s">
        <v>868</v>
      </c>
      <c r="C336" s="587" t="s">
        <v>869</v>
      </c>
      <c r="D336" s="587" t="s">
        <v>871</v>
      </c>
      <c r="E336" s="587"/>
      <c r="F336" s="587" t="str">
        <f t="shared" si="34"/>
        <v>Marche à pied (exclusivement sur tout le trajet)</v>
      </c>
      <c r="G336" s="587">
        <f t="shared" si="35"/>
        <v>7</v>
      </c>
      <c r="H336" s="587"/>
      <c r="I336" s="587">
        <v>10</v>
      </c>
      <c r="J336" s="587">
        <f t="shared" si="36"/>
        <v>0</v>
      </c>
      <c r="K336" s="587"/>
      <c r="L336" s="587"/>
      <c r="M336" s="587">
        <f t="shared" si="33"/>
        <v>7</v>
      </c>
      <c r="N336" s="587">
        <f t="shared" si="33"/>
        <v>0</v>
      </c>
      <c r="O336" s="587">
        <f t="shared" si="33"/>
        <v>0</v>
      </c>
      <c r="P336" s="587">
        <f t="shared" si="32"/>
        <v>0</v>
      </c>
    </row>
    <row r="337" spans="2:16">
      <c r="B337" s="587" t="s">
        <v>868</v>
      </c>
      <c r="C337" s="587" t="s">
        <v>869</v>
      </c>
      <c r="D337" s="587" t="s">
        <v>872</v>
      </c>
      <c r="E337" s="587"/>
      <c r="F337" s="587" t="str">
        <f t="shared" si="34"/>
        <v>Vélo personnel (y compris vélo à assistance électrique)</v>
      </c>
      <c r="G337" s="587">
        <f t="shared" si="35"/>
        <v>7</v>
      </c>
      <c r="H337" s="587"/>
      <c r="I337" s="587">
        <v>10</v>
      </c>
      <c r="J337" s="587">
        <f t="shared" si="36"/>
        <v>0</v>
      </c>
      <c r="K337" s="587"/>
      <c r="L337" s="587"/>
      <c r="M337" s="587">
        <f t="shared" si="33"/>
        <v>7</v>
      </c>
      <c r="N337" s="587">
        <f t="shared" si="33"/>
        <v>0</v>
      </c>
      <c r="O337" s="587">
        <f t="shared" si="33"/>
        <v>0</v>
      </c>
      <c r="P337" s="587">
        <f t="shared" si="32"/>
        <v>0</v>
      </c>
    </row>
    <row r="338" spans="2:16">
      <c r="B338" s="587" t="s">
        <v>868</v>
      </c>
      <c r="C338" s="587" t="s">
        <v>869</v>
      </c>
      <c r="D338" s="587" t="s">
        <v>871</v>
      </c>
      <c r="E338" s="587"/>
      <c r="F338" s="587" t="str">
        <f t="shared" si="34"/>
        <v>Marche à pied (exclusivement sur tout le trajet)</v>
      </c>
      <c r="G338" s="587">
        <f t="shared" si="35"/>
        <v>7</v>
      </c>
      <c r="H338" s="587"/>
      <c r="I338" s="587">
        <v>5</v>
      </c>
      <c r="J338" s="587">
        <f t="shared" si="36"/>
        <v>0</v>
      </c>
      <c r="K338" s="587"/>
      <c r="L338" s="587"/>
      <c r="M338" s="587">
        <f t="shared" si="33"/>
        <v>7</v>
      </c>
      <c r="N338" s="587">
        <f t="shared" si="33"/>
        <v>0</v>
      </c>
      <c r="O338" s="587">
        <f t="shared" si="33"/>
        <v>0</v>
      </c>
      <c r="P338" s="587">
        <f t="shared" si="32"/>
        <v>0</v>
      </c>
    </row>
    <row r="339" spans="2:16">
      <c r="B339" s="587" t="s">
        <v>868</v>
      </c>
      <c r="C339" s="587" t="s">
        <v>869</v>
      </c>
      <c r="D339" s="587" t="s">
        <v>871</v>
      </c>
      <c r="E339" s="587"/>
      <c r="F339" s="587" t="str">
        <f t="shared" si="34"/>
        <v>Marche à pied (exclusivement sur tout le trajet)</v>
      </c>
      <c r="G339" s="587">
        <f t="shared" si="35"/>
        <v>7</v>
      </c>
      <c r="H339" s="587"/>
      <c r="I339" s="587">
        <v>3</v>
      </c>
      <c r="J339" s="587">
        <f t="shared" si="36"/>
        <v>0</v>
      </c>
      <c r="K339" s="587"/>
      <c r="L339" s="587"/>
      <c r="M339" s="587">
        <f t="shared" si="33"/>
        <v>7</v>
      </c>
      <c r="N339" s="587">
        <f t="shared" si="33"/>
        <v>0</v>
      </c>
      <c r="O339" s="587">
        <f t="shared" si="33"/>
        <v>0</v>
      </c>
      <c r="P339" s="587">
        <f t="shared" si="32"/>
        <v>0</v>
      </c>
    </row>
    <row r="340" spans="2:16">
      <c r="B340" s="587" t="s">
        <v>868</v>
      </c>
      <c r="C340" s="587" t="s">
        <v>869</v>
      </c>
      <c r="D340" s="587" t="s">
        <v>871</v>
      </c>
      <c r="E340" s="587"/>
      <c r="F340" s="587" t="str">
        <f t="shared" si="34"/>
        <v>Marche à pied (exclusivement sur tout le trajet)</v>
      </c>
      <c r="G340" s="587">
        <f t="shared" si="35"/>
        <v>7</v>
      </c>
      <c r="H340" s="587"/>
      <c r="I340" s="587">
        <v>10</v>
      </c>
      <c r="J340" s="587">
        <f t="shared" si="36"/>
        <v>0</v>
      </c>
      <c r="K340" s="587"/>
      <c r="L340" s="587"/>
      <c r="M340" s="587">
        <f t="shared" si="33"/>
        <v>7</v>
      </c>
      <c r="N340" s="587">
        <f t="shared" si="33"/>
        <v>0</v>
      </c>
      <c r="O340" s="587">
        <f t="shared" si="33"/>
        <v>0</v>
      </c>
      <c r="P340" s="587">
        <f t="shared" si="32"/>
        <v>0</v>
      </c>
    </row>
    <row r="341" spans="2:16">
      <c r="B341" s="587" t="s">
        <v>868</v>
      </c>
      <c r="C341" s="587" t="s">
        <v>869</v>
      </c>
      <c r="D341" s="587" t="s">
        <v>871</v>
      </c>
      <c r="E341" s="587"/>
      <c r="F341" s="587" t="str">
        <f t="shared" si="34"/>
        <v>Marche à pied (exclusivement sur tout le trajet)</v>
      </c>
      <c r="G341" s="587">
        <f t="shared" si="35"/>
        <v>7</v>
      </c>
      <c r="H341" s="587"/>
      <c r="I341" s="587">
        <v>8</v>
      </c>
      <c r="J341" s="587">
        <f t="shared" si="36"/>
        <v>0</v>
      </c>
      <c r="K341" s="587"/>
      <c r="L341" s="587"/>
      <c r="M341" s="587">
        <f t="shared" si="33"/>
        <v>7</v>
      </c>
      <c r="N341" s="587">
        <f t="shared" si="33"/>
        <v>0</v>
      </c>
      <c r="O341" s="587">
        <f t="shared" si="33"/>
        <v>0</v>
      </c>
      <c r="P341" s="587">
        <f t="shared" si="32"/>
        <v>0</v>
      </c>
    </row>
    <row r="342" spans="2:16">
      <c r="B342" s="587" t="s">
        <v>868</v>
      </c>
      <c r="C342" s="587" t="s">
        <v>869</v>
      </c>
      <c r="D342" s="587" t="s">
        <v>872</v>
      </c>
      <c r="E342" s="587"/>
      <c r="F342" s="587" t="str">
        <f t="shared" si="34"/>
        <v>Vélo personnel (y compris vélo à assistance électrique)</v>
      </c>
      <c r="G342" s="587">
        <f t="shared" si="35"/>
        <v>7</v>
      </c>
      <c r="H342" s="587"/>
      <c r="I342" s="587">
        <v>8</v>
      </c>
      <c r="J342" s="587">
        <f t="shared" si="36"/>
        <v>0</v>
      </c>
      <c r="K342" s="587"/>
      <c r="L342" s="587"/>
      <c r="M342" s="587">
        <f t="shared" si="33"/>
        <v>7</v>
      </c>
      <c r="N342" s="587">
        <f t="shared" si="33"/>
        <v>0</v>
      </c>
      <c r="O342" s="587">
        <f t="shared" si="33"/>
        <v>0</v>
      </c>
      <c r="P342" s="587">
        <f t="shared" si="32"/>
        <v>0</v>
      </c>
    </row>
    <row r="343" spans="2:16">
      <c r="B343" s="587" t="s">
        <v>868</v>
      </c>
      <c r="C343" s="587" t="s">
        <v>869</v>
      </c>
      <c r="D343" s="587" t="s">
        <v>872</v>
      </c>
      <c r="E343" s="587"/>
      <c r="F343" s="587" t="str">
        <f t="shared" si="34"/>
        <v>Vélo personnel (y compris vélo à assistance électrique)</v>
      </c>
      <c r="G343" s="587">
        <f t="shared" si="35"/>
        <v>7</v>
      </c>
      <c r="H343" s="587"/>
      <c r="I343" s="587">
        <v>5</v>
      </c>
      <c r="J343" s="587">
        <f t="shared" si="36"/>
        <v>0</v>
      </c>
      <c r="K343" s="587"/>
      <c r="L343" s="587"/>
      <c r="M343" s="587">
        <f t="shared" si="33"/>
        <v>7</v>
      </c>
      <c r="N343" s="587">
        <f t="shared" si="33"/>
        <v>0</v>
      </c>
      <c r="O343" s="587">
        <f t="shared" si="33"/>
        <v>0</v>
      </c>
      <c r="P343" s="587">
        <f t="shared" si="32"/>
        <v>0</v>
      </c>
    </row>
    <row r="344" spans="2:16">
      <c r="B344" s="587" t="s">
        <v>868</v>
      </c>
      <c r="C344" s="587" t="s">
        <v>875</v>
      </c>
      <c r="D344" s="587" t="s">
        <v>872</v>
      </c>
      <c r="E344" s="587"/>
      <c r="F344" s="587" t="str">
        <f t="shared" si="34"/>
        <v>Vélo personnel (y compris vélo à assistance électrique)</v>
      </c>
      <c r="G344" s="587">
        <f t="shared" si="35"/>
        <v>7</v>
      </c>
      <c r="H344" s="587"/>
      <c r="I344" s="587">
        <v>25</v>
      </c>
      <c r="J344" s="587">
        <f t="shared" si="36"/>
        <v>0</v>
      </c>
      <c r="K344" s="587"/>
      <c r="L344" s="587"/>
      <c r="M344" s="587">
        <f t="shared" si="33"/>
        <v>0</v>
      </c>
      <c r="N344" s="587">
        <f t="shared" si="33"/>
        <v>7</v>
      </c>
      <c r="O344" s="587">
        <f t="shared" si="33"/>
        <v>0</v>
      </c>
      <c r="P344" s="587">
        <f t="shared" si="32"/>
        <v>0</v>
      </c>
    </row>
    <row r="345" spans="2:16">
      <c r="B345" s="587" t="s">
        <v>868</v>
      </c>
      <c r="C345" s="587" t="s">
        <v>869</v>
      </c>
      <c r="D345" s="587" t="s">
        <v>879</v>
      </c>
      <c r="E345" s="587"/>
      <c r="F345" s="587" t="str">
        <f t="shared" si="34"/>
        <v>Voiture (seul(e))</v>
      </c>
      <c r="G345" s="587">
        <f t="shared" si="35"/>
        <v>3</v>
      </c>
      <c r="H345" s="587"/>
      <c r="I345" s="587">
        <v>15</v>
      </c>
      <c r="J345" s="587">
        <f t="shared" si="36"/>
        <v>2.7600000000000002</v>
      </c>
      <c r="K345" s="587"/>
      <c r="L345" s="587"/>
      <c r="M345" s="587">
        <f t="shared" si="33"/>
        <v>3</v>
      </c>
      <c r="N345" s="587">
        <f t="shared" si="33"/>
        <v>0</v>
      </c>
      <c r="O345" s="587">
        <f t="shared" si="33"/>
        <v>0</v>
      </c>
      <c r="P345" s="587">
        <f t="shared" si="32"/>
        <v>0</v>
      </c>
    </row>
    <row r="346" spans="2:16">
      <c r="B346" s="587" t="s">
        <v>868</v>
      </c>
      <c r="C346" s="587" t="s">
        <v>869</v>
      </c>
      <c r="D346" s="587" t="s">
        <v>871</v>
      </c>
      <c r="E346" s="587"/>
      <c r="F346" s="587" t="str">
        <f t="shared" si="34"/>
        <v>Marche à pied (exclusivement sur tout le trajet)</v>
      </c>
      <c r="G346" s="587">
        <f t="shared" si="35"/>
        <v>7</v>
      </c>
      <c r="H346" s="587"/>
      <c r="I346" s="587">
        <v>10</v>
      </c>
      <c r="J346" s="587">
        <f t="shared" si="36"/>
        <v>0</v>
      </c>
      <c r="K346" s="587"/>
      <c r="L346" s="587"/>
      <c r="M346" s="587">
        <f t="shared" si="33"/>
        <v>7</v>
      </c>
      <c r="N346" s="587">
        <f t="shared" si="33"/>
        <v>0</v>
      </c>
      <c r="O346" s="587">
        <f t="shared" si="33"/>
        <v>0</v>
      </c>
      <c r="P346" s="587">
        <f t="shared" si="32"/>
        <v>0</v>
      </c>
    </row>
    <row r="347" spans="2:16">
      <c r="B347" s="587" t="s">
        <v>868</v>
      </c>
      <c r="C347" s="587" t="s">
        <v>875</v>
      </c>
      <c r="D347" s="587"/>
      <c r="E347" s="587" t="s">
        <v>878</v>
      </c>
      <c r="F347" s="587" t="str">
        <f t="shared" si="34"/>
        <v>Marche à pied au-delà de 5 minutes</v>
      </c>
      <c r="G347" s="587">
        <f t="shared" si="35"/>
        <v>7</v>
      </c>
      <c r="H347" s="587"/>
      <c r="I347" s="587">
        <v>30</v>
      </c>
      <c r="J347" s="587">
        <f t="shared" si="36"/>
        <v>0</v>
      </c>
      <c r="K347" s="587"/>
      <c r="L347" s="587"/>
      <c r="M347" s="587">
        <f t="shared" si="33"/>
        <v>0</v>
      </c>
      <c r="N347" s="587">
        <f t="shared" si="33"/>
        <v>7</v>
      </c>
      <c r="O347" s="587">
        <f t="shared" si="33"/>
        <v>0</v>
      </c>
      <c r="P347" s="587">
        <f t="shared" si="32"/>
        <v>0</v>
      </c>
    </row>
    <row r="348" spans="2:16">
      <c r="B348" s="587" t="s">
        <v>868</v>
      </c>
      <c r="C348" s="587" t="s">
        <v>875</v>
      </c>
      <c r="D348" s="587" t="s">
        <v>872</v>
      </c>
      <c r="E348" s="587"/>
      <c r="F348" s="587" t="str">
        <f t="shared" si="34"/>
        <v>Vélo personnel (y compris vélo à assistance électrique)</v>
      </c>
      <c r="G348" s="587">
        <f t="shared" si="35"/>
        <v>7</v>
      </c>
      <c r="H348" s="587"/>
      <c r="I348" s="587">
        <v>20</v>
      </c>
      <c r="J348" s="587">
        <f t="shared" si="36"/>
        <v>0</v>
      </c>
      <c r="K348" s="587"/>
      <c r="L348" s="587"/>
      <c r="M348" s="587">
        <f t="shared" si="33"/>
        <v>0</v>
      </c>
      <c r="N348" s="587">
        <f t="shared" si="33"/>
        <v>7</v>
      </c>
      <c r="O348" s="587">
        <f t="shared" si="33"/>
        <v>0</v>
      </c>
      <c r="P348" s="587">
        <f t="shared" si="32"/>
        <v>0</v>
      </c>
    </row>
    <row r="349" spans="2:16">
      <c r="B349" s="587" t="s">
        <v>868</v>
      </c>
      <c r="C349" s="587" t="s">
        <v>882</v>
      </c>
      <c r="D349" s="587"/>
      <c r="E349" s="587" t="s">
        <v>878</v>
      </c>
      <c r="F349" s="587" t="str">
        <f t="shared" si="34"/>
        <v>Marche à pied au-delà de 5 minutes</v>
      </c>
      <c r="G349" s="587">
        <f t="shared" si="35"/>
        <v>7</v>
      </c>
      <c r="H349" s="587"/>
      <c r="I349" s="587">
        <v>70</v>
      </c>
      <c r="J349" s="587">
        <f t="shared" si="36"/>
        <v>0</v>
      </c>
      <c r="K349" s="587"/>
      <c r="L349" s="587"/>
      <c r="M349" s="587">
        <f t="shared" si="33"/>
        <v>0</v>
      </c>
      <c r="N349" s="587">
        <f t="shared" si="33"/>
        <v>0</v>
      </c>
      <c r="O349" s="587">
        <f t="shared" si="33"/>
        <v>7</v>
      </c>
      <c r="P349" s="587">
        <f t="shared" si="33"/>
        <v>0</v>
      </c>
    </row>
    <row r="350" spans="2:16">
      <c r="B350" s="587" t="s">
        <v>868</v>
      </c>
      <c r="C350" s="587" t="s">
        <v>869</v>
      </c>
      <c r="D350" s="587" t="s">
        <v>871</v>
      </c>
      <c r="E350" s="587"/>
      <c r="F350" s="587" t="str">
        <f t="shared" si="34"/>
        <v>Marche à pied (exclusivement sur tout le trajet)</v>
      </c>
      <c r="G350" s="587">
        <f t="shared" si="35"/>
        <v>7</v>
      </c>
      <c r="H350" s="587"/>
      <c r="I350" s="587">
        <v>10</v>
      </c>
      <c r="J350" s="587">
        <f t="shared" si="36"/>
        <v>0</v>
      </c>
      <c r="K350" s="587"/>
      <c r="L350" s="587"/>
      <c r="M350" s="587">
        <f t="shared" ref="M350:P413" si="37">IF($C350=M$27,$G350,0)</f>
        <v>7</v>
      </c>
      <c r="N350" s="587">
        <f t="shared" si="37"/>
        <v>0</v>
      </c>
      <c r="O350" s="587">
        <f t="shared" si="37"/>
        <v>0</v>
      </c>
      <c r="P350" s="587">
        <f t="shared" si="37"/>
        <v>0</v>
      </c>
    </row>
    <row r="351" spans="2:16">
      <c r="B351" s="587" t="s">
        <v>868</v>
      </c>
      <c r="C351" s="587" t="s">
        <v>869</v>
      </c>
      <c r="D351" s="587" t="s">
        <v>876</v>
      </c>
      <c r="E351" s="587"/>
      <c r="F351" s="587" t="str">
        <f t="shared" si="34"/>
        <v>Trottinette, roller, skateboard,...</v>
      </c>
      <c r="G351" s="587">
        <f t="shared" si="35"/>
        <v>7</v>
      </c>
      <c r="H351" s="587"/>
      <c r="I351" s="587">
        <v>8</v>
      </c>
      <c r="J351" s="587">
        <f t="shared" si="36"/>
        <v>0</v>
      </c>
      <c r="K351" s="587"/>
      <c r="L351" s="587"/>
      <c r="M351" s="587">
        <f t="shared" si="37"/>
        <v>7</v>
      </c>
      <c r="N351" s="587">
        <f t="shared" si="37"/>
        <v>0</v>
      </c>
      <c r="O351" s="587">
        <f t="shared" si="37"/>
        <v>0</v>
      </c>
      <c r="P351" s="587">
        <f t="shared" si="37"/>
        <v>0</v>
      </c>
    </row>
    <row r="352" spans="2:16">
      <c r="B352" s="587" t="s">
        <v>868</v>
      </c>
      <c r="C352" s="587" t="s">
        <v>869</v>
      </c>
      <c r="D352" s="587" t="s">
        <v>871</v>
      </c>
      <c r="E352" s="587"/>
      <c r="F352" s="587" t="str">
        <f t="shared" si="34"/>
        <v>Marche à pied (exclusivement sur tout le trajet)</v>
      </c>
      <c r="G352" s="587">
        <f t="shared" si="35"/>
        <v>7</v>
      </c>
      <c r="H352" s="587"/>
      <c r="I352" s="587">
        <v>10</v>
      </c>
      <c r="J352" s="587">
        <f t="shared" si="36"/>
        <v>0</v>
      </c>
      <c r="K352" s="587"/>
      <c r="L352" s="587"/>
      <c r="M352" s="587">
        <f t="shared" si="37"/>
        <v>7</v>
      </c>
      <c r="N352" s="587">
        <f t="shared" si="37"/>
        <v>0</v>
      </c>
      <c r="O352" s="587">
        <f t="shared" si="37"/>
        <v>0</v>
      </c>
      <c r="P352" s="587">
        <f t="shared" si="37"/>
        <v>0</v>
      </c>
    </row>
    <row r="353" spans="2:16">
      <c r="B353" s="587" t="s">
        <v>868</v>
      </c>
      <c r="C353" s="587" t="s">
        <v>869</v>
      </c>
      <c r="D353" s="587" t="s">
        <v>871</v>
      </c>
      <c r="E353" s="587"/>
      <c r="F353" s="587" t="str">
        <f t="shared" si="34"/>
        <v>Marche à pied (exclusivement sur tout le trajet)</v>
      </c>
      <c r="G353" s="587">
        <f t="shared" si="35"/>
        <v>7</v>
      </c>
      <c r="H353" s="587"/>
      <c r="I353" s="587">
        <v>17</v>
      </c>
      <c r="J353" s="587">
        <f t="shared" si="36"/>
        <v>0</v>
      </c>
      <c r="K353" s="587"/>
      <c r="L353" s="587"/>
      <c r="M353" s="587">
        <f t="shared" si="37"/>
        <v>7</v>
      </c>
      <c r="N353" s="587">
        <f t="shared" si="37"/>
        <v>0</v>
      </c>
      <c r="O353" s="587">
        <f t="shared" si="37"/>
        <v>0</v>
      </c>
      <c r="P353" s="587">
        <f t="shared" si="37"/>
        <v>0</v>
      </c>
    </row>
    <row r="354" spans="2:16">
      <c r="B354" s="587" t="s">
        <v>868</v>
      </c>
      <c r="C354" s="587" t="s">
        <v>869</v>
      </c>
      <c r="D354" s="587" t="s">
        <v>872</v>
      </c>
      <c r="E354" s="587"/>
      <c r="F354" s="587" t="str">
        <f t="shared" si="34"/>
        <v>Vélo personnel (y compris vélo à assistance électrique)</v>
      </c>
      <c r="G354" s="587">
        <f t="shared" si="35"/>
        <v>7</v>
      </c>
      <c r="H354" s="587"/>
      <c r="I354" s="587">
        <v>15</v>
      </c>
      <c r="J354" s="587">
        <f t="shared" si="36"/>
        <v>0</v>
      </c>
      <c r="K354" s="587"/>
      <c r="L354" s="587"/>
      <c r="M354" s="587">
        <f t="shared" si="37"/>
        <v>7</v>
      </c>
      <c r="N354" s="587">
        <f t="shared" si="37"/>
        <v>0</v>
      </c>
      <c r="O354" s="587">
        <f t="shared" si="37"/>
        <v>0</v>
      </c>
      <c r="P354" s="587">
        <f t="shared" si="37"/>
        <v>0</v>
      </c>
    </row>
    <row r="355" spans="2:16">
      <c r="B355" s="587" t="s">
        <v>868</v>
      </c>
      <c r="C355" s="587" t="s">
        <v>869</v>
      </c>
      <c r="D355" s="587" t="s">
        <v>872</v>
      </c>
      <c r="E355" s="587"/>
      <c r="F355" s="587" t="str">
        <f t="shared" si="34"/>
        <v>Vélo personnel (y compris vélo à assistance électrique)</v>
      </c>
      <c r="G355" s="587">
        <f t="shared" si="35"/>
        <v>7</v>
      </c>
      <c r="H355" s="587"/>
      <c r="I355" s="587">
        <v>5</v>
      </c>
      <c r="J355" s="587">
        <f t="shared" si="36"/>
        <v>0</v>
      </c>
      <c r="K355" s="587"/>
      <c r="L355" s="587"/>
      <c r="M355" s="587">
        <f t="shared" si="37"/>
        <v>7</v>
      </c>
      <c r="N355" s="587">
        <f t="shared" si="37"/>
        <v>0</v>
      </c>
      <c r="O355" s="587">
        <f t="shared" si="37"/>
        <v>0</v>
      </c>
      <c r="P355" s="587">
        <f t="shared" si="37"/>
        <v>0</v>
      </c>
    </row>
    <row r="356" spans="2:16">
      <c r="B356" s="587" t="s">
        <v>868</v>
      </c>
      <c r="C356" s="587" t="s">
        <v>875</v>
      </c>
      <c r="D356" s="587" t="s">
        <v>872</v>
      </c>
      <c r="E356" s="587"/>
      <c r="F356" s="587" t="str">
        <f t="shared" si="34"/>
        <v>Vélo personnel (y compris vélo à assistance électrique)</v>
      </c>
      <c r="G356" s="587">
        <f t="shared" si="35"/>
        <v>7</v>
      </c>
      <c r="H356" s="587"/>
      <c r="I356" s="587">
        <v>25</v>
      </c>
      <c r="J356" s="587">
        <f t="shared" si="36"/>
        <v>0</v>
      </c>
      <c r="K356" s="587"/>
      <c r="L356" s="587"/>
      <c r="M356" s="587">
        <f t="shared" si="37"/>
        <v>0</v>
      </c>
      <c r="N356" s="587">
        <f t="shared" si="37"/>
        <v>7</v>
      </c>
      <c r="O356" s="587">
        <f t="shared" si="37"/>
        <v>0</v>
      </c>
      <c r="P356" s="587">
        <f t="shared" si="37"/>
        <v>0</v>
      </c>
    </row>
    <row r="357" spans="2:16">
      <c r="B357" s="587" t="s">
        <v>868</v>
      </c>
      <c r="C357" s="587" t="s">
        <v>869</v>
      </c>
      <c r="D357" s="587" t="s">
        <v>871</v>
      </c>
      <c r="E357" s="587"/>
      <c r="F357" s="587" t="str">
        <f t="shared" si="34"/>
        <v>Marche à pied (exclusivement sur tout le trajet)</v>
      </c>
      <c r="G357" s="587">
        <f t="shared" si="35"/>
        <v>7</v>
      </c>
      <c r="H357" s="587"/>
      <c r="I357" s="587">
        <v>5</v>
      </c>
      <c r="J357" s="587">
        <f t="shared" si="36"/>
        <v>0</v>
      </c>
      <c r="K357" s="587"/>
      <c r="L357" s="587"/>
      <c r="M357" s="587">
        <f t="shared" si="37"/>
        <v>7</v>
      </c>
      <c r="N357" s="587">
        <f t="shared" si="37"/>
        <v>0</v>
      </c>
      <c r="O357" s="587">
        <f t="shared" si="37"/>
        <v>0</v>
      </c>
      <c r="P357" s="587">
        <f t="shared" si="37"/>
        <v>0</v>
      </c>
    </row>
    <row r="358" spans="2:16">
      <c r="B358" s="587" t="s">
        <v>868</v>
      </c>
      <c r="C358" s="587" t="s">
        <v>869</v>
      </c>
      <c r="D358" s="587" t="s">
        <v>879</v>
      </c>
      <c r="E358" s="587"/>
      <c r="F358" s="587" t="str">
        <f t="shared" si="34"/>
        <v>Voiture (seul(e))</v>
      </c>
      <c r="G358" s="587">
        <f t="shared" si="35"/>
        <v>3</v>
      </c>
      <c r="H358" s="587"/>
      <c r="I358" s="587">
        <v>90</v>
      </c>
      <c r="J358" s="587">
        <f t="shared" si="36"/>
        <v>2.7600000000000002</v>
      </c>
      <c r="K358" s="587"/>
      <c r="L358" s="587"/>
      <c r="M358" s="587">
        <f t="shared" si="37"/>
        <v>3</v>
      </c>
      <c r="N358" s="587">
        <f t="shared" si="37"/>
        <v>0</v>
      </c>
      <c r="O358" s="587">
        <f t="shared" si="37"/>
        <v>0</v>
      </c>
      <c r="P358" s="587">
        <f t="shared" si="37"/>
        <v>0</v>
      </c>
    </row>
    <row r="359" spans="2:16">
      <c r="B359" s="587" t="s">
        <v>868</v>
      </c>
      <c r="C359" s="587" t="s">
        <v>882</v>
      </c>
      <c r="D359" s="587" t="s">
        <v>872</v>
      </c>
      <c r="E359" s="587"/>
      <c r="F359" s="587" t="str">
        <f t="shared" si="34"/>
        <v>Vélo personnel (y compris vélo à assistance électrique)</v>
      </c>
      <c r="G359" s="587">
        <f t="shared" si="35"/>
        <v>7</v>
      </c>
      <c r="H359" s="587"/>
      <c r="I359" s="587">
        <v>30</v>
      </c>
      <c r="J359" s="587">
        <f t="shared" si="36"/>
        <v>0</v>
      </c>
      <c r="K359" s="587"/>
      <c r="L359" s="587"/>
      <c r="M359" s="587">
        <f t="shared" si="37"/>
        <v>0</v>
      </c>
      <c r="N359" s="587">
        <f t="shared" si="37"/>
        <v>0</v>
      </c>
      <c r="O359" s="587">
        <f t="shared" si="37"/>
        <v>7</v>
      </c>
      <c r="P359" s="587">
        <f t="shared" si="37"/>
        <v>0</v>
      </c>
    </row>
    <row r="360" spans="2:16">
      <c r="B360" s="587" t="s">
        <v>868</v>
      </c>
      <c r="C360" s="587" t="s">
        <v>869</v>
      </c>
      <c r="D360" s="587" t="s">
        <v>871</v>
      </c>
      <c r="E360" s="587"/>
      <c r="F360" s="587" t="str">
        <f t="shared" si="34"/>
        <v>Marche à pied (exclusivement sur tout le trajet)</v>
      </c>
      <c r="G360" s="587">
        <f t="shared" si="35"/>
        <v>7</v>
      </c>
      <c r="H360" s="587"/>
      <c r="I360" s="587">
        <v>50</v>
      </c>
      <c r="J360" s="587">
        <f t="shared" si="36"/>
        <v>0</v>
      </c>
      <c r="K360" s="587"/>
      <c r="L360" s="587"/>
      <c r="M360" s="587">
        <f t="shared" si="37"/>
        <v>7</v>
      </c>
      <c r="N360" s="587">
        <f t="shared" si="37"/>
        <v>0</v>
      </c>
      <c r="O360" s="587">
        <f t="shared" si="37"/>
        <v>0</v>
      </c>
      <c r="P360" s="587">
        <f t="shared" si="37"/>
        <v>0</v>
      </c>
    </row>
    <row r="361" spans="2:16">
      <c r="B361" s="587" t="s">
        <v>868</v>
      </c>
      <c r="C361" s="587" t="s">
        <v>869</v>
      </c>
      <c r="D361" s="587" t="s">
        <v>877</v>
      </c>
      <c r="E361" s="587"/>
      <c r="F361" s="587" t="str">
        <f t="shared" si="34"/>
        <v>Vélo’v</v>
      </c>
      <c r="G361" s="587">
        <f t="shared" si="35"/>
        <v>7</v>
      </c>
      <c r="H361" s="587"/>
      <c r="I361" s="587">
        <v>30</v>
      </c>
      <c r="J361" s="587">
        <f t="shared" si="36"/>
        <v>0</v>
      </c>
      <c r="K361" s="587"/>
      <c r="L361" s="587"/>
      <c r="M361" s="587">
        <f t="shared" si="37"/>
        <v>7</v>
      </c>
      <c r="N361" s="587">
        <f t="shared" si="37"/>
        <v>0</v>
      </c>
      <c r="O361" s="587">
        <f t="shared" si="37"/>
        <v>0</v>
      </c>
      <c r="P361" s="587">
        <f t="shared" si="37"/>
        <v>0</v>
      </c>
    </row>
    <row r="362" spans="2:16">
      <c r="B362" s="587" t="s">
        <v>868</v>
      </c>
      <c r="C362" s="587" t="s">
        <v>869</v>
      </c>
      <c r="D362" s="587" t="s">
        <v>871</v>
      </c>
      <c r="E362" s="587"/>
      <c r="F362" s="587" t="str">
        <f t="shared" si="34"/>
        <v>Marche à pied (exclusivement sur tout le trajet)</v>
      </c>
      <c r="G362" s="587">
        <f t="shared" si="35"/>
        <v>7</v>
      </c>
      <c r="H362" s="587"/>
      <c r="I362" s="587">
        <v>1</v>
      </c>
      <c r="J362" s="587">
        <f t="shared" si="36"/>
        <v>0</v>
      </c>
      <c r="K362" s="587"/>
      <c r="L362" s="587"/>
      <c r="M362" s="587">
        <f t="shared" si="37"/>
        <v>7</v>
      </c>
      <c r="N362" s="587">
        <f t="shared" si="37"/>
        <v>0</v>
      </c>
      <c r="O362" s="587">
        <f t="shared" si="37"/>
        <v>0</v>
      </c>
      <c r="P362" s="587">
        <f t="shared" si="37"/>
        <v>0</v>
      </c>
    </row>
    <row r="363" spans="2:16">
      <c r="B363" s="587" t="s">
        <v>868</v>
      </c>
      <c r="C363" s="587" t="s">
        <v>869</v>
      </c>
      <c r="D363" s="587" t="s">
        <v>871</v>
      </c>
      <c r="E363" s="587"/>
      <c r="F363" s="587" t="str">
        <f t="shared" si="34"/>
        <v>Marche à pied (exclusivement sur tout le trajet)</v>
      </c>
      <c r="G363" s="587">
        <f t="shared" si="35"/>
        <v>7</v>
      </c>
      <c r="H363" s="587"/>
      <c r="I363" s="587"/>
      <c r="J363" s="587">
        <f t="shared" si="36"/>
        <v>0</v>
      </c>
      <c r="K363" s="587"/>
      <c r="L363" s="587"/>
      <c r="M363" s="587">
        <f t="shared" si="37"/>
        <v>7</v>
      </c>
      <c r="N363" s="587">
        <f t="shared" si="37"/>
        <v>0</v>
      </c>
      <c r="O363" s="587">
        <f t="shared" si="37"/>
        <v>0</v>
      </c>
      <c r="P363" s="587">
        <f t="shared" si="37"/>
        <v>0</v>
      </c>
    </row>
    <row r="364" spans="2:16">
      <c r="B364" s="587" t="s">
        <v>868</v>
      </c>
      <c r="C364" s="587" t="s">
        <v>869</v>
      </c>
      <c r="D364" s="587" t="s">
        <v>871</v>
      </c>
      <c r="E364" s="587"/>
      <c r="F364" s="587" t="str">
        <f t="shared" si="34"/>
        <v>Marche à pied (exclusivement sur tout le trajet)</v>
      </c>
      <c r="G364" s="587">
        <f t="shared" si="35"/>
        <v>7</v>
      </c>
      <c r="H364" s="587"/>
      <c r="I364" s="587">
        <v>7</v>
      </c>
      <c r="J364" s="587">
        <f t="shared" si="36"/>
        <v>0</v>
      </c>
      <c r="K364" s="587"/>
      <c r="L364" s="587"/>
      <c r="M364" s="587">
        <f t="shared" si="37"/>
        <v>7</v>
      </c>
      <c r="N364" s="587">
        <f t="shared" si="37"/>
        <v>0</v>
      </c>
      <c r="O364" s="587">
        <f t="shared" si="37"/>
        <v>0</v>
      </c>
      <c r="P364" s="587">
        <f t="shared" si="37"/>
        <v>0</v>
      </c>
    </row>
    <row r="365" spans="2:16">
      <c r="B365" s="587" t="s">
        <v>868</v>
      </c>
      <c r="C365" s="587" t="s">
        <v>869</v>
      </c>
      <c r="D365" s="587" t="s">
        <v>871</v>
      </c>
      <c r="E365" s="587"/>
      <c r="F365" s="587" t="str">
        <f t="shared" si="34"/>
        <v>Marche à pied (exclusivement sur tout le trajet)</v>
      </c>
      <c r="G365" s="587">
        <f t="shared" si="35"/>
        <v>7</v>
      </c>
      <c r="H365" s="587"/>
      <c r="I365" s="587">
        <v>5</v>
      </c>
      <c r="J365" s="587">
        <f t="shared" si="36"/>
        <v>0</v>
      </c>
      <c r="K365" s="587"/>
      <c r="L365" s="587"/>
      <c r="M365" s="587">
        <f t="shared" si="37"/>
        <v>7</v>
      </c>
      <c r="N365" s="587">
        <f t="shared" si="37"/>
        <v>0</v>
      </c>
      <c r="O365" s="587">
        <f t="shared" si="37"/>
        <v>0</v>
      </c>
      <c r="P365" s="587">
        <f t="shared" si="37"/>
        <v>0</v>
      </c>
    </row>
    <row r="366" spans="2:16">
      <c r="B366" s="587" t="s">
        <v>868</v>
      </c>
      <c r="C366" s="587" t="s">
        <v>882</v>
      </c>
      <c r="D366" s="587" t="s">
        <v>879</v>
      </c>
      <c r="E366" s="587"/>
      <c r="F366" s="587" t="str">
        <f t="shared" si="34"/>
        <v>Voiture (seul(e))</v>
      </c>
      <c r="G366" s="587">
        <f t="shared" si="35"/>
        <v>3</v>
      </c>
      <c r="H366" s="587"/>
      <c r="I366" s="587">
        <v>70</v>
      </c>
      <c r="J366" s="587">
        <f t="shared" si="36"/>
        <v>2.7600000000000002</v>
      </c>
      <c r="K366" s="587"/>
      <c r="L366" s="587"/>
      <c r="M366" s="587">
        <f t="shared" si="37"/>
        <v>0</v>
      </c>
      <c r="N366" s="587">
        <f t="shared" si="37"/>
        <v>0</v>
      </c>
      <c r="O366" s="587">
        <f t="shared" si="37"/>
        <v>3</v>
      </c>
      <c r="P366" s="587">
        <f t="shared" si="37"/>
        <v>0</v>
      </c>
    </row>
    <row r="367" spans="2:16">
      <c r="B367" s="587" t="s">
        <v>868</v>
      </c>
      <c r="C367" s="587" t="s">
        <v>869</v>
      </c>
      <c r="D367" s="587" t="s">
        <v>848</v>
      </c>
      <c r="E367" s="587"/>
      <c r="F367" s="587" t="str">
        <f t="shared" si="34"/>
        <v>Bus</v>
      </c>
      <c r="G367" s="587">
        <f t="shared" si="35"/>
        <v>2</v>
      </c>
      <c r="H367" s="587"/>
      <c r="I367" s="587">
        <v>15</v>
      </c>
      <c r="J367" s="587">
        <f t="shared" si="36"/>
        <v>1.29</v>
      </c>
      <c r="K367" s="587"/>
      <c r="L367" s="587"/>
      <c r="M367" s="587">
        <f t="shared" si="37"/>
        <v>2</v>
      </c>
      <c r="N367" s="587">
        <f t="shared" si="37"/>
        <v>0</v>
      </c>
      <c r="O367" s="587">
        <f t="shared" si="37"/>
        <v>0</v>
      </c>
      <c r="P367" s="587">
        <f t="shared" si="37"/>
        <v>0</v>
      </c>
    </row>
    <row r="368" spans="2:16">
      <c r="B368" s="587" t="s">
        <v>868</v>
      </c>
      <c r="C368" s="587" t="s">
        <v>869</v>
      </c>
      <c r="D368" s="587" t="s">
        <v>871</v>
      </c>
      <c r="E368" s="587"/>
      <c r="F368" s="587" t="str">
        <f t="shared" ref="F368:F431" si="38">IF(D368="",E368,D368)</f>
        <v>Marche à pied (exclusivement sur tout le trajet)</v>
      </c>
      <c r="G368" s="587">
        <f t="shared" ref="G368:G431" si="39">IF(F368="Métro",1,IF(F368="Tramway",1,IF(F368="Vélo'v",7,IF(F368="Marche à pied (exclusivement sur tout le trajet)",7,IF(F368="Vélo personnel (y compris vélo à assistance électrique)",7,IF(F368="Trottinette, roller, skateboard,…",7,IF(F368="Marche à pied au-delà de 5 minutes",7,IF(F368="Voiture (seul(e))",3,IF(F368="Bus",2,IF(F368="Trottinette, roller, skateboard au-delà de 5 minutes",7,IF(F368="Covoiturage (passager(ère))",4,IF(F368="Trottinette, roller, skateboard,...",7,IF(F368="Vélo’v",7,IF(F368="Train (TER,TGV,...)",6,IF(F368="Deux roues motorisées (moto, scooter, mobylette,…)",5,IF(F368="Covoiturage (conducteur(trice))",4,IF(F368="Train (TER,..)",6,0)))))))))))))))))</f>
        <v>7</v>
      </c>
      <c r="H368" s="587"/>
      <c r="I368" s="587">
        <v>6</v>
      </c>
      <c r="J368" s="587">
        <f t="shared" ref="J368:J431" si="40">IF(G368=1,$C$6*($I$28*$K$6)/$J$6,IF(G368=2,$C$7*($I$28*$K$7)/$J$7,IF(G368=3,$C$8*$I$28*$K$8/$J$8,IF(G368=4,$C$9*$I$28*$K$9/$J$9,IF(G368=5,$C$10*$I$28*$K$10/$J$10,IF(G368=6,$C$11*$K$11*$I$28/$J$11,0))))))</f>
        <v>0</v>
      </c>
      <c r="K368" s="587"/>
      <c r="L368" s="587"/>
      <c r="M368" s="587">
        <f t="shared" si="37"/>
        <v>7</v>
      </c>
      <c r="N368" s="587">
        <f t="shared" si="37"/>
        <v>0</v>
      </c>
      <c r="O368" s="587">
        <f t="shared" si="37"/>
        <v>0</v>
      </c>
      <c r="P368" s="587">
        <f t="shared" si="37"/>
        <v>0</v>
      </c>
    </row>
    <row r="369" spans="2:16">
      <c r="B369" s="587" t="s">
        <v>868</v>
      </c>
      <c r="C369" s="587" t="s">
        <v>869</v>
      </c>
      <c r="D369" s="587" t="s">
        <v>871</v>
      </c>
      <c r="E369" s="587"/>
      <c r="F369" s="587" t="str">
        <f t="shared" si="38"/>
        <v>Marche à pied (exclusivement sur tout le trajet)</v>
      </c>
      <c r="G369" s="587">
        <f t="shared" si="39"/>
        <v>7</v>
      </c>
      <c r="H369" s="587"/>
      <c r="I369" s="587">
        <v>3</v>
      </c>
      <c r="J369" s="587">
        <f t="shared" si="40"/>
        <v>0</v>
      </c>
      <c r="K369" s="587"/>
      <c r="L369" s="587"/>
      <c r="M369" s="587">
        <f t="shared" si="37"/>
        <v>7</v>
      </c>
      <c r="N369" s="587">
        <f t="shared" si="37"/>
        <v>0</v>
      </c>
      <c r="O369" s="587">
        <f t="shared" si="37"/>
        <v>0</v>
      </c>
      <c r="P369" s="587">
        <f t="shared" si="37"/>
        <v>0</v>
      </c>
    </row>
    <row r="370" spans="2:16">
      <c r="B370" s="587" t="s">
        <v>868</v>
      </c>
      <c r="C370" s="587" t="s">
        <v>869</v>
      </c>
      <c r="D370" s="587" t="s">
        <v>877</v>
      </c>
      <c r="E370" s="587"/>
      <c r="F370" s="587" t="str">
        <f t="shared" si="38"/>
        <v>Vélo’v</v>
      </c>
      <c r="G370" s="587">
        <f t="shared" si="39"/>
        <v>7</v>
      </c>
      <c r="H370" s="587"/>
      <c r="I370" s="587">
        <v>15</v>
      </c>
      <c r="J370" s="587">
        <f t="shared" si="40"/>
        <v>0</v>
      </c>
      <c r="K370" s="587"/>
      <c r="L370" s="587"/>
      <c r="M370" s="587">
        <f t="shared" si="37"/>
        <v>7</v>
      </c>
      <c r="N370" s="587">
        <f t="shared" si="37"/>
        <v>0</v>
      </c>
      <c r="O370" s="587">
        <f t="shared" si="37"/>
        <v>0</v>
      </c>
      <c r="P370" s="587">
        <f t="shared" si="37"/>
        <v>0</v>
      </c>
    </row>
    <row r="371" spans="2:16">
      <c r="B371" s="587" t="s">
        <v>868</v>
      </c>
      <c r="C371" s="587" t="s">
        <v>882</v>
      </c>
      <c r="D371" s="587" t="s">
        <v>872</v>
      </c>
      <c r="E371" s="587"/>
      <c r="F371" s="587" t="str">
        <f t="shared" si="38"/>
        <v>Vélo personnel (y compris vélo à assistance électrique)</v>
      </c>
      <c r="G371" s="587">
        <f t="shared" si="39"/>
        <v>7</v>
      </c>
      <c r="H371" s="587"/>
      <c r="I371" s="587">
        <v>40</v>
      </c>
      <c r="J371" s="587">
        <f t="shared" si="40"/>
        <v>0</v>
      </c>
      <c r="K371" s="587"/>
      <c r="L371" s="587"/>
      <c r="M371" s="587">
        <f t="shared" si="37"/>
        <v>0</v>
      </c>
      <c r="N371" s="587">
        <f t="shared" si="37"/>
        <v>0</v>
      </c>
      <c r="O371" s="587">
        <f t="shared" si="37"/>
        <v>7</v>
      </c>
      <c r="P371" s="587">
        <f t="shared" si="37"/>
        <v>0</v>
      </c>
    </row>
    <row r="372" spans="2:16">
      <c r="B372" s="587" t="s">
        <v>868</v>
      </c>
      <c r="C372" s="587" t="s">
        <v>869</v>
      </c>
      <c r="D372" s="587" t="s">
        <v>877</v>
      </c>
      <c r="E372" s="587"/>
      <c r="F372" s="587" t="str">
        <f t="shared" si="38"/>
        <v>Vélo’v</v>
      </c>
      <c r="G372" s="587">
        <f t="shared" si="39"/>
        <v>7</v>
      </c>
      <c r="H372" s="587"/>
      <c r="I372" s="587">
        <v>25</v>
      </c>
      <c r="J372" s="587">
        <f t="shared" si="40"/>
        <v>0</v>
      </c>
      <c r="K372" s="587"/>
      <c r="L372" s="587"/>
      <c r="M372" s="587">
        <f t="shared" si="37"/>
        <v>7</v>
      </c>
      <c r="N372" s="587">
        <f t="shared" si="37"/>
        <v>0</v>
      </c>
      <c r="O372" s="587">
        <f t="shared" si="37"/>
        <v>0</v>
      </c>
      <c r="P372" s="587">
        <f t="shared" si="37"/>
        <v>0</v>
      </c>
    </row>
    <row r="373" spans="2:16">
      <c r="B373" s="587" t="s">
        <v>868</v>
      </c>
      <c r="C373" s="587" t="s">
        <v>869</v>
      </c>
      <c r="D373" s="587"/>
      <c r="E373" s="587" t="s">
        <v>880</v>
      </c>
      <c r="F373" s="587" t="str">
        <f t="shared" si="38"/>
        <v>Train (TER,TGV,...)</v>
      </c>
      <c r="G373" s="587">
        <f t="shared" si="39"/>
        <v>6</v>
      </c>
      <c r="H373" s="587"/>
      <c r="I373" s="587">
        <v>60</v>
      </c>
      <c r="J373" s="587">
        <f t="shared" si="40"/>
        <v>0.34600000000000003</v>
      </c>
      <c r="K373" s="587"/>
      <c r="L373" s="587"/>
      <c r="M373" s="587">
        <f t="shared" si="37"/>
        <v>6</v>
      </c>
      <c r="N373" s="587">
        <f t="shared" si="37"/>
        <v>0</v>
      </c>
      <c r="O373" s="587">
        <f t="shared" si="37"/>
        <v>0</v>
      </c>
      <c r="P373" s="587">
        <f t="shared" si="37"/>
        <v>0</v>
      </c>
    </row>
    <row r="374" spans="2:16">
      <c r="B374" s="587" t="s">
        <v>868</v>
      </c>
      <c r="C374" s="587" t="s">
        <v>875</v>
      </c>
      <c r="D374" s="587" t="s">
        <v>879</v>
      </c>
      <c r="E374" s="587"/>
      <c r="F374" s="587" t="str">
        <f t="shared" si="38"/>
        <v>Voiture (seul(e))</v>
      </c>
      <c r="G374" s="587">
        <f t="shared" si="39"/>
        <v>3</v>
      </c>
      <c r="H374" s="587"/>
      <c r="I374" s="587">
        <v>25</v>
      </c>
      <c r="J374" s="587">
        <f t="shared" si="40"/>
        <v>2.7600000000000002</v>
      </c>
      <c r="K374" s="587"/>
      <c r="L374" s="587"/>
      <c r="M374" s="587">
        <f t="shared" si="37"/>
        <v>0</v>
      </c>
      <c r="N374" s="587">
        <f t="shared" si="37"/>
        <v>3</v>
      </c>
      <c r="O374" s="587">
        <f t="shared" si="37"/>
        <v>0</v>
      </c>
      <c r="P374" s="587">
        <f t="shared" si="37"/>
        <v>0</v>
      </c>
    </row>
    <row r="375" spans="2:16">
      <c r="B375" s="587" t="s">
        <v>868</v>
      </c>
      <c r="C375" s="587" t="s">
        <v>869</v>
      </c>
      <c r="D375" s="587" t="s">
        <v>871</v>
      </c>
      <c r="E375" s="587"/>
      <c r="F375" s="587" t="str">
        <f t="shared" si="38"/>
        <v>Marche à pied (exclusivement sur tout le trajet)</v>
      </c>
      <c r="G375" s="587">
        <f t="shared" si="39"/>
        <v>7</v>
      </c>
      <c r="H375" s="587"/>
      <c r="I375" s="587">
        <v>20</v>
      </c>
      <c r="J375" s="587">
        <f t="shared" si="40"/>
        <v>0</v>
      </c>
      <c r="K375" s="587"/>
      <c r="L375" s="587"/>
      <c r="M375" s="587">
        <f t="shared" si="37"/>
        <v>7</v>
      </c>
      <c r="N375" s="587">
        <f t="shared" si="37"/>
        <v>0</v>
      </c>
      <c r="O375" s="587">
        <f t="shared" si="37"/>
        <v>0</v>
      </c>
      <c r="P375" s="587">
        <f t="shared" si="37"/>
        <v>0</v>
      </c>
    </row>
    <row r="376" spans="2:16">
      <c r="B376" s="587" t="s">
        <v>868</v>
      </c>
      <c r="C376" s="587" t="s">
        <v>869</v>
      </c>
      <c r="D376" s="587" t="s">
        <v>872</v>
      </c>
      <c r="E376" s="587"/>
      <c r="F376" s="587" t="str">
        <f t="shared" si="38"/>
        <v>Vélo personnel (y compris vélo à assistance électrique)</v>
      </c>
      <c r="G376" s="587">
        <f t="shared" si="39"/>
        <v>7</v>
      </c>
      <c r="H376" s="587"/>
      <c r="I376" s="587">
        <v>15</v>
      </c>
      <c r="J376" s="587">
        <f t="shared" si="40"/>
        <v>0</v>
      </c>
      <c r="K376" s="587"/>
      <c r="L376" s="587"/>
      <c r="M376" s="587">
        <f t="shared" si="37"/>
        <v>7</v>
      </c>
      <c r="N376" s="587">
        <f t="shared" si="37"/>
        <v>0</v>
      </c>
      <c r="O376" s="587">
        <f t="shared" si="37"/>
        <v>0</v>
      </c>
      <c r="P376" s="587">
        <f t="shared" si="37"/>
        <v>0</v>
      </c>
    </row>
    <row r="377" spans="2:16">
      <c r="B377" s="587" t="s">
        <v>868</v>
      </c>
      <c r="C377" s="587" t="s">
        <v>869</v>
      </c>
      <c r="D377" s="587" t="s">
        <v>871</v>
      </c>
      <c r="E377" s="587"/>
      <c r="F377" s="587" t="str">
        <f t="shared" si="38"/>
        <v>Marche à pied (exclusivement sur tout le trajet)</v>
      </c>
      <c r="G377" s="587">
        <f t="shared" si="39"/>
        <v>7</v>
      </c>
      <c r="H377" s="587"/>
      <c r="I377" s="587">
        <v>12</v>
      </c>
      <c r="J377" s="587">
        <f t="shared" si="40"/>
        <v>0</v>
      </c>
      <c r="K377" s="587"/>
      <c r="L377" s="587"/>
      <c r="M377" s="587">
        <f t="shared" si="37"/>
        <v>7</v>
      </c>
      <c r="N377" s="587">
        <f t="shared" si="37"/>
        <v>0</v>
      </c>
      <c r="O377" s="587">
        <f t="shared" si="37"/>
        <v>0</v>
      </c>
      <c r="P377" s="587">
        <f t="shared" si="37"/>
        <v>0</v>
      </c>
    </row>
    <row r="378" spans="2:16">
      <c r="B378" s="587" t="s">
        <v>868</v>
      </c>
      <c r="C378" s="587" t="s">
        <v>869</v>
      </c>
      <c r="D378" s="587" t="s">
        <v>872</v>
      </c>
      <c r="E378" s="587"/>
      <c r="F378" s="587" t="str">
        <f t="shared" si="38"/>
        <v>Vélo personnel (y compris vélo à assistance électrique)</v>
      </c>
      <c r="G378" s="587">
        <f t="shared" si="39"/>
        <v>7</v>
      </c>
      <c r="H378" s="587"/>
      <c r="I378" s="587">
        <v>20</v>
      </c>
      <c r="J378" s="587">
        <f t="shared" si="40"/>
        <v>0</v>
      </c>
      <c r="K378" s="587"/>
      <c r="L378" s="587"/>
      <c r="M378" s="587">
        <f t="shared" si="37"/>
        <v>7</v>
      </c>
      <c r="N378" s="587">
        <f t="shared" si="37"/>
        <v>0</v>
      </c>
      <c r="O378" s="587">
        <f t="shared" si="37"/>
        <v>0</v>
      </c>
      <c r="P378" s="587">
        <f t="shared" si="37"/>
        <v>0</v>
      </c>
    </row>
    <row r="379" spans="2:16">
      <c r="B379" s="587" t="s">
        <v>868</v>
      </c>
      <c r="C379" s="587" t="s">
        <v>869</v>
      </c>
      <c r="D379" s="587" t="s">
        <v>872</v>
      </c>
      <c r="E379" s="587"/>
      <c r="F379" s="587" t="str">
        <f t="shared" si="38"/>
        <v>Vélo personnel (y compris vélo à assistance électrique)</v>
      </c>
      <c r="G379" s="587">
        <f t="shared" si="39"/>
        <v>7</v>
      </c>
      <c r="H379" s="587"/>
      <c r="I379" s="587">
        <v>7</v>
      </c>
      <c r="J379" s="587">
        <f t="shared" si="40"/>
        <v>0</v>
      </c>
      <c r="K379" s="587"/>
      <c r="L379" s="587"/>
      <c r="M379" s="587">
        <f t="shared" si="37"/>
        <v>7</v>
      </c>
      <c r="N379" s="587">
        <f t="shared" si="37"/>
        <v>0</v>
      </c>
      <c r="O379" s="587">
        <f t="shared" si="37"/>
        <v>0</v>
      </c>
      <c r="P379" s="587">
        <f t="shared" si="37"/>
        <v>0</v>
      </c>
    </row>
    <row r="380" spans="2:16">
      <c r="B380" s="587" t="s">
        <v>868</v>
      </c>
      <c r="C380" s="587" t="s">
        <v>869</v>
      </c>
      <c r="D380" s="587" t="s">
        <v>871</v>
      </c>
      <c r="E380" s="587"/>
      <c r="F380" s="587" t="str">
        <f t="shared" si="38"/>
        <v>Marche à pied (exclusivement sur tout le trajet)</v>
      </c>
      <c r="G380" s="587">
        <f t="shared" si="39"/>
        <v>7</v>
      </c>
      <c r="H380" s="587"/>
      <c r="I380" s="587">
        <v>2</v>
      </c>
      <c r="J380" s="587">
        <f t="shared" si="40"/>
        <v>0</v>
      </c>
      <c r="K380" s="587"/>
      <c r="L380" s="587"/>
      <c r="M380" s="587">
        <f t="shared" si="37"/>
        <v>7</v>
      </c>
      <c r="N380" s="587">
        <f t="shared" si="37"/>
        <v>0</v>
      </c>
      <c r="O380" s="587">
        <f t="shared" si="37"/>
        <v>0</v>
      </c>
      <c r="P380" s="587">
        <f t="shared" si="37"/>
        <v>0</v>
      </c>
    </row>
    <row r="381" spans="2:16">
      <c r="B381" s="587" t="s">
        <v>868</v>
      </c>
      <c r="C381" s="587" t="s">
        <v>882</v>
      </c>
      <c r="D381" s="587"/>
      <c r="E381" s="587" t="s">
        <v>848</v>
      </c>
      <c r="F381" s="587" t="str">
        <f t="shared" si="38"/>
        <v>Bus</v>
      </c>
      <c r="G381" s="587">
        <f t="shared" si="39"/>
        <v>2</v>
      </c>
      <c r="H381" s="587"/>
      <c r="I381" s="587">
        <v>35</v>
      </c>
      <c r="J381" s="587">
        <f t="shared" si="40"/>
        <v>1.29</v>
      </c>
      <c r="K381" s="587"/>
      <c r="L381" s="587"/>
      <c r="M381" s="587">
        <f t="shared" si="37"/>
        <v>0</v>
      </c>
      <c r="N381" s="587">
        <f t="shared" si="37"/>
        <v>0</v>
      </c>
      <c r="O381" s="587">
        <f t="shared" si="37"/>
        <v>2</v>
      </c>
      <c r="P381" s="587">
        <f t="shared" si="37"/>
        <v>0</v>
      </c>
    </row>
    <row r="382" spans="2:16">
      <c r="B382" s="587" t="s">
        <v>868</v>
      </c>
      <c r="C382" s="587" t="s">
        <v>869</v>
      </c>
      <c r="D382" s="587" t="s">
        <v>872</v>
      </c>
      <c r="E382" s="587"/>
      <c r="F382" s="587" t="str">
        <f t="shared" si="38"/>
        <v>Vélo personnel (y compris vélo à assistance électrique)</v>
      </c>
      <c r="G382" s="587">
        <f t="shared" si="39"/>
        <v>7</v>
      </c>
      <c r="H382" s="587"/>
      <c r="I382" s="587">
        <v>10</v>
      </c>
      <c r="J382" s="587">
        <f t="shared" si="40"/>
        <v>0</v>
      </c>
      <c r="K382" s="587"/>
      <c r="L382" s="587"/>
      <c r="M382" s="587">
        <f t="shared" si="37"/>
        <v>7</v>
      </c>
      <c r="N382" s="587">
        <f t="shared" si="37"/>
        <v>0</v>
      </c>
      <c r="O382" s="587">
        <f t="shared" si="37"/>
        <v>0</v>
      </c>
      <c r="P382" s="587">
        <f t="shared" si="37"/>
        <v>0</v>
      </c>
    </row>
    <row r="383" spans="2:16">
      <c r="B383" s="587" t="s">
        <v>868</v>
      </c>
      <c r="C383" s="587" t="s">
        <v>869</v>
      </c>
      <c r="D383" s="587" t="s">
        <v>871</v>
      </c>
      <c r="E383" s="587"/>
      <c r="F383" s="587" t="str">
        <f t="shared" si="38"/>
        <v>Marche à pied (exclusivement sur tout le trajet)</v>
      </c>
      <c r="G383" s="587">
        <f t="shared" si="39"/>
        <v>7</v>
      </c>
      <c r="H383" s="587"/>
      <c r="I383" s="587">
        <v>5</v>
      </c>
      <c r="J383" s="587">
        <f t="shared" si="40"/>
        <v>0</v>
      </c>
      <c r="K383" s="587"/>
      <c r="L383" s="587"/>
      <c r="M383" s="587">
        <f t="shared" si="37"/>
        <v>7</v>
      </c>
      <c r="N383" s="587">
        <f t="shared" si="37"/>
        <v>0</v>
      </c>
      <c r="O383" s="587">
        <f t="shared" si="37"/>
        <v>0</v>
      </c>
      <c r="P383" s="587">
        <f t="shared" si="37"/>
        <v>0</v>
      </c>
    </row>
    <row r="384" spans="2:16">
      <c r="B384" s="587" t="s">
        <v>868</v>
      </c>
      <c r="C384" s="587" t="s">
        <v>875</v>
      </c>
      <c r="D384" s="587"/>
      <c r="E384" s="587" t="s">
        <v>872</v>
      </c>
      <c r="F384" s="587" t="str">
        <f t="shared" si="38"/>
        <v>Vélo personnel (y compris vélo à assistance électrique)</v>
      </c>
      <c r="G384" s="587">
        <f t="shared" si="39"/>
        <v>7</v>
      </c>
      <c r="H384" s="587"/>
      <c r="I384" s="587">
        <v>20</v>
      </c>
      <c r="J384" s="587">
        <f t="shared" si="40"/>
        <v>0</v>
      </c>
      <c r="K384" s="587"/>
      <c r="L384" s="587"/>
      <c r="M384" s="587">
        <f t="shared" si="37"/>
        <v>0</v>
      </c>
      <c r="N384" s="587">
        <f t="shared" si="37"/>
        <v>7</v>
      </c>
      <c r="O384" s="587">
        <f t="shared" si="37"/>
        <v>0</v>
      </c>
      <c r="P384" s="587">
        <f t="shared" si="37"/>
        <v>0</v>
      </c>
    </row>
    <row r="385" spans="2:16">
      <c r="B385" s="587" t="s">
        <v>868</v>
      </c>
      <c r="C385" s="587" t="s">
        <v>869</v>
      </c>
      <c r="D385" s="587" t="s">
        <v>871</v>
      </c>
      <c r="E385" s="587"/>
      <c r="F385" s="587" t="str">
        <f t="shared" si="38"/>
        <v>Marche à pied (exclusivement sur tout le trajet)</v>
      </c>
      <c r="G385" s="587">
        <f t="shared" si="39"/>
        <v>7</v>
      </c>
      <c r="H385" s="587"/>
      <c r="I385" s="587">
        <v>10</v>
      </c>
      <c r="J385" s="587">
        <f t="shared" si="40"/>
        <v>0</v>
      </c>
      <c r="K385" s="587"/>
      <c r="L385" s="587"/>
      <c r="M385" s="587">
        <f t="shared" si="37"/>
        <v>7</v>
      </c>
      <c r="N385" s="587">
        <f t="shared" si="37"/>
        <v>0</v>
      </c>
      <c r="O385" s="587">
        <f t="shared" si="37"/>
        <v>0</v>
      </c>
      <c r="P385" s="587">
        <f t="shared" si="37"/>
        <v>0</v>
      </c>
    </row>
    <row r="386" spans="2:16">
      <c r="B386" s="587" t="s">
        <v>868</v>
      </c>
      <c r="C386" s="587" t="s">
        <v>869</v>
      </c>
      <c r="D386" s="587" t="s">
        <v>871</v>
      </c>
      <c r="E386" s="587"/>
      <c r="F386" s="587" t="str">
        <f t="shared" si="38"/>
        <v>Marche à pied (exclusivement sur tout le trajet)</v>
      </c>
      <c r="G386" s="587">
        <f t="shared" si="39"/>
        <v>7</v>
      </c>
      <c r="H386" s="587"/>
      <c r="I386" s="587">
        <v>8</v>
      </c>
      <c r="J386" s="587">
        <f t="shared" si="40"/>
        <v>0</v>
      </c>
      <c r="K386" s="587"/>
      <c r="L386" s="587"/>
      <c r="M386" s="587">
        <f t="shared" si="37"/>
        <v>7</v>
      </c>
      <c r="N386" s="587">
        <f t="shared" si="37"/>
        <v>0</v>
      </c>
      <c r="O386" s="587">
        <f t="shared" si="37"/>
        <v>0</v>
      </c>
      <c r="P386" s="587">
        <f t="shared" si="37"/>
        <v>0</v>
      </c>
    </row>
    <row r="387" spans="2:16">
      <c r="B387" s="587" t="s">
        <v>868</v>
      </c>
      <c r="C387" s="587" t="s">
        <v>869</v>
      </c>
      <c r="D387" s="587" t="s">
        <v>871</v>
      </c>
      <c r="E387" s="587"/>
      <c r="F387" s="587" t="str">
        <f t="shared" si="38"/>
        <v>Marche à pied (exclusivement sur tout le trajet)</v>
      </c>
      <c r="G387" s="587">
        <f t="shared" si="39"/>
        <v>7</v>
      </c>
      <c r="H387" s="587"/>
      <c r="I387" s="587">
        <v>12</v>
      </c>
      <c r="J387" s="587">
        <f t="shared" si="40"/>
        <v>0</v>
      </c>
      <c r="K387" s="587"/>
      <c r="L387" s="587"/>
      <c r="M387" s="587">
        <f t="shared" si="37"/>
        <v>7</v>
      </c>
      <c r="N387" s="587">
        <f t="shared" si="37"/>
        <v>0</v>
      </c>
      <c r="O387" s="587">
        <f t="shared" si="37"/>
        <v>0</v>
      </c>
      <c r="P387" s="587">
        <f t="shared" si="37"/>
        <v>0</v>
      </c>
    </row>
    <row r="388" spans="2:16">
      <c r="B388" s="587" t="s">
        <v>868</v>
      </c>
      <c r="C388" s="587" t="s">
        <v>882</v>
      </c>
      <c r="D388" s="587" t="s">
        <v>879</v>
      </c>
      <c r="E388" s="587"/>
      <c r="F388" s="587" t="str">
        <f t="shared" si="38"/>
        <v>Voiture (seul(e))</v>
      </c>
      <c r="G388" s="587">
        <f t="shared" si="39"/>
        <v>3</v>
      </c>
      <c r="H388" s="587"/>
      <c r="I388" s="587">
        <v>20</v>
      </c>
      <c r="J388" s="587">
        <f t="shared" si="40"/>
        <v>2.7600000000000002</v>
      </c>
      <c r="K388" s="587"/>
      <c r="L388" s="587"/>
      <c r="M388" s="587">
        <f t="shared" si="37"/>
        <v>0</v>
      </c>
      <c r="N388" s="587">
        <f t="shared" si="37"/>
        <v>0</v>
      </c>
      <c r="O388" s="587">
        <f t="shared" si="37"/>
        <v>3</v>
      </c>
      <c r="P388" s="587">
        <f t="shared" si="37"/>
        <v>0</v>
      </c>
    </row>
    <row r="389" spans="2:16">
      <c r="B389" s="587" t="s">
        <v>868</v>
      </c>
      <c r="C389" s="587" t="s">
        <v>869</v>
      </c>
      <c r="D389" s="587" t="s">
        <v>876</v>
      </c>
      <c r="E389" s="587"/>
      <c r="F389" s="587" t="str">
        <f t="shared" si="38"/>
        <v>Trottinette, roller, skateboard,...</v>
      </c>
      <c r="G389" s="587">
        <f t="shared" si="39"/>
        <v>7</v>
      </c>
      <c r="H389" s="587"/>
      <c r="I389" s="587">
        <v>8</v>
      </c>
      <c r="J389" s="587">
        <f t="shared" si="40"/>
        <v>0</v>
      </c>
      <c r="K389" s="587"/>
      <c r="L389" s="587"/>
      <c r="M389" s="587">
        <f t="shared" si="37"/>
        <v>7</v>
      </c>
      <c r="N389" s="587">
        <f t="shared" si="37"/>
        <v>0</v>
      </c>
      <c r="O389" s="587">
        <f t="shared" si="37"/>
        <v>0</v>
      </c>
      <c r="P389" s="587">
        <f t="shared" si="37"/>
        <v>0</v>
      </c>
    </row>
    <row r="390" spans="2:16">
      <c r="B390" s="587" t="s">
        <v>868</v>
      </c>
      <c r="C390" s="587" t="s">
        <v>869</v>
      </c>
      <c r="D390" s="587" t="s">
        <v>871</v>
      </c>
      <c r="E390" s="587"/>
      <c r="F390" s="587" t="str">
        <f t="shared" si="38"/>
        <v>Marche à pied (exclusivement sur tout le trajet)</v>
      </c>
      <c r="G390" s="587">
        <f t="shared" si="39"/>
        <v>7</v>
      </c>
      <c r="H390" s="587"/>
      <c r="I390" s="587">
        <v>10</v>
      </c>
      <c r="J390" s="587">
        <f t="shared" si="40"/>
        <v>0</v>
      </c>
      <c r="K390" s="587"/>
      <c r="L390" s="587"/>
      <c r="M390" s="587">
        <f t="shared" si="37"/>
        <v>7</v>
      </c>
      <c r="N390" s="587">
        <f t="shared" si="37"/>
        <v>0</v>
      </c>
      <c r="O390" s="587">
        <f t="shared" si="37"/>
        <v>0</v>
      </c>
      <c r="P390" s="587">
        <f t="shared" si="37"/>
        <v>0</v>
      </c>
    </row>
    <row r="391" spans="2:16">
      <c r="B391" s="587" t="s">
        <v>868</v>
      </c>
      <c r="C391" s="587" t="s">
        <v>869</v>
      </c>
      <c r="D391" s="587" t="s">
        <v>872</v>
      </c>
      <c r="E391" s="587"/>
      <c r="F391" s="587" t="str">
        <f t="shared" si="38"/>
        <v>Vélo personnel (y compris vélo à assistance électrique)</v>
      </c>
      <c r="G391" s="587">
        <f t="shared" si="39"/>
        <v>7</v>
      </c>
      <c r="H391" s="587"/>
      <c r="I391" s="587">
        <v>10</v>
      </c>
      <c r="J391" s="587">
        <f t="shared" si="40"/>
        <v>0</v>
      </c>
      <c r="K391" s="587"/>
      <c r="L391" s="587"/>
      <c r="M391" s="587">
        <f t="shared" si="37"/>
        <v>7</v>
      </c>
      <c r="N391" s="587">
        <f t="shared" si="37"/>
        <v>0</v>
      </c>
      <c r="O391" s="587">
        <f t="shared" si="37"/>
        <v>0</v>
      </c>
      <c r="P391" s="587">
        <f t="shared" si="37"/>
        <v>0</v>
      </c>
    </row>
    <row r="392" spans="2:16">
      <c r="B392" s="587" t="s">
        <v>868</v>
      </c>
      <c r="C392" s="587" t="s">
        <v>882</v>
      </c>
      <c r="D392" s="587" t="s">
        <v>879</v>
      </c>
      <c r="E392" s="587"/>
      <c r="F392" s="587" t="str">
        <f t="shared" si="38"/>
        <v>Voiture (seul(e))</v>
      </c>
      <c r="G392" s="587">
        <f t="shared" si="39"/>
        <v>3</v>
      </c>
      <c r="H392" s="587"/>
      <c r="I392" s="587">
        <v>30</v>
      </c>
      <c r="J392" s="587">
        <f t="shared" si="40"/>
        <v>2.7600000000000002</v>
      </c>
      <c r="K392" s="587"/>
      <c r="L392" s="587"/>
      <c r="M392" s="587">
        <f t="shared" si="37"/>
        <v>0</v>
      </c>
      <c r="N392" s="587">
        <f t="shared" si="37"/>
        <v>0</v>
      </c>
      <c r="O392" s="587">
        <f t="shared" si="37"/>
        <v>3</v>
      </c>
      <c r="P392" s="587">
        <f t="shared" si="37"/>
        <v>0</v>
      </c>
    </row>
    <row r="393" spans="2:16">
      <c r="B393" s="587" t="s">
        <v>868</v>
      </c>
      <c r="C393" s="587" t="s">
        <v>869</v>
      </c>
      <c r="D393" s="587" t="s">
        <v>872</v>
      </c>
      <c r="E393" s="587"/>
      <c r="F393" s="587" t="str">
        <f t="shared" si="38"/>
        <v>Vélo personnel (y compris vélo à assistance électrique)</v>
      </c>
      <c r="G393" s="587">
        <f t="shared" si="39"/>
        <v>7</v>
      </c>
      <c r="H393" s="587"/>
      <c r="I393" s="587">
        <v>10</v>
      </c>
      <c r="J393" s="587">
        <f t="shared" si="40"/>
        <v>0</v>
      </c>
      <c r="K393" s="587"/>
      <c r="L393" s="587"/>
      <c r="M393" s="587">
        <f t="shared" si="37"/>
        <v>7</v>
      </c>
      <c r="N393" s="587">
        <f t="shared" si="37"/>
        <v>0</v>
      </c>
      <c r="O393" s="587">
        <f t="shared" si="37"/>
        <v>0</v>
      </c>
      <c r="P393" s="587">
        <f t="shared" si="37"/>
        <v>0</v>
      </c>
    </row>
    <row r="394" spans="2:16">
      <c r="B394" s="587" t="s">
        <v>868</v>
      </c>
      <c r="C394" s="587" t="s">
        <v>869</v>
      </c>
      <c r="D394" s="587" t="s">
        <v>872</v>
      </c>
      <c r="E394" s="587"/>
      <c r="F394" s="587" t="str">
        <f t="shared" si="38"/>
        <v>Vélo personnel (y compris vélo à assistance électrique)</v>
      </c>
      <c r="G394" s="587">
        <f t="shared" si="39"/>
        <v>7</v>
      </c>
      <c r="H394" s="587"/>
      <c r="I394" s="587">
        <v>15</v>
      </c>
      <c r="J394" s="587">
        <f t="shared" si="40"/>
        <v>0</v>
      </c>
      <c r="K394" s="587"/>
      <c r="L394" s="587"/>
      <c r="M394" s="587">
        <f t="shared" si="37"/>
        <v>7</v>
      </c>
      <c r="N394" s="587">
        <f t="shared" si="37"/>
        <v>0</v>
      </c>
      <c r="O394" s="587">
        <f t="shared" si="37"/>
        <v>0</v>
      </c>
      <c r="P394" s="587">
        <f t="shared" si="37"/>
        <v>0</v>
      </c>
    </row>
    <row r="395" spans="2:16">
      <c r="B395" s="587" t="s">
        <v>868</v>
      </c>
      <c r="C395" s="587" t="s">
        <v>875</v>
      </c>
      <c r="D395" s="587" t="s">
        <v>871</v>
      </c>
      <c r="E395" s="587"/>
      <c r="F395" s="587" t="str">
        <f t="shared" si="38"/>
        <v>Marche à pied (exclusivement sur tout le trajet)</v>
      </c>
      <c r="G395" s="587">
        <f t="shared" si="39"/>
        <v>7</v>
      </c>
      <c r="H395" s="587"/>
      <c r="I395" s="587">
        <v>20</v>
      </c>
      <c r="J395" s="587">
        <f t="shared" si="40"/>
        <v>0</v>
      </c>
      <c r="K395" s="587"/>
      <c r="L395" s="587"/>
      <c r="M395" s="587">
        <f t="shared" si="37"/>
        <v>0</v>
      </c>
      <c r="N395" s="587">
        <f t="shared" si="37"/>
        <v>7</v>
      </c>
      <c r="O395" s="587">
        <f t="shared" si="37"/>
        <v>0</v>
      </c>
      <c r="P395" s="587">
        <f t="shared" si="37"/>
        <v>0</v>
      </c>
    </row>
    <row r="396" spans="2:16">
      <c r="B396" s="587" t="s">
        <v>868</v>
      </c>
      <c r="C396" s="587" t="s">
        <v>882</v>
      </c>
      <c r="D396" s="587" t="s">
        <v>879</v>
      </c>
      <c r="E396" s="587"/>
      <c r="F396" s="587" t="str">
        <f t="shared" si="38"/>
        <v>Voiture (seul(e))</v>
      </c>
      <c r="G396" s="587">
        <f t="shared" si="39"/>
        <v>3</v>
      </c>
      <c r="H396" s="587"/>
      <c r="I396" s="587">
        <v>50</v>
      </c>
      <c r="J396" s="587">
        <f t="shared" si="40"/>
        <v>2.7600000000000002</v>
      </c>
      <c r="K396" s="587"/>
      <c r="L396" s="587"/>
      <c r="M396" s="587">
        <f t="shared" si="37"/>
        <v>0</v>
      </c>
      <c r="N396" s="587">
        <f t="shared" si="37"/>
        <v>0</v>
      </c>
      <c r="O396" s="587">
        <f t="shared" si="37"/>
        <v>3</v>
      </c>
      <c r="P396" s="587">
        <f t="shared" si="37"/>
        <v>0</v>
      </c>
    </row>
    <row r="397" spans="2:16">
      <c r="B397" s="587" t="s">
        <v>868</v>
      </c>
      <c r="C397" s="587" t="s">
        <v>869</v>
      </c>
      <c r="D397" s="587" t="s">
        <v>871</v>
      </c>
      <c r="E397" s="587"/>
      <c r="F397" s="587" t="str">
        <f t="shared" si="38"/>
        <v>Marche à pied (exclusivement sur tout le trajet)</v>
      </c>
      <c r="G397" s="587">
        <f t="shared" si="39"/>
        <v>7</v>
      </c>
      <c r="H397" s="587"/>
      <c r="I397" s="587">
        <v>3</v>
      </c>
      <c r="J397" s="587">
        <f t="shared" si="40"/>
        <v>0</v>
      </c>
      <c r="K397" s="587"/>
      <c r="L397" s="587"/>
      <c r="M397" s="587">
        <f t="shared" si="37"/>
        <v>7</v>
      </c>
      <c r="N397" s="587">
        <f t="shared" si="37"/>
        <v>0</v>
      </c>
      <c r="O397" s="587">
        <f t="shared" si="37"/>
        <v>0</v>
      </c>
      <c r="P397" s="587">
        <f t="shared" si="37"/>
        <v>0</v>
      </c>
    </row>
    <row r="398" spans="2:16">
      <c r="B398" s="587" t="s">
        <v>868</v>
      </c>
      <c r="C398" s="587" t="s">
        <v>869</v>
      </c>
      <c r="D398" s="587" t="s">
        <v>872</v>
      </c>
      <c r="E398" s="587"/>
      <c r="F398" s="587" t="str">
        <f t="shared" si="38"/>
        <v>Vélo personnel (y compris vélo à assistance électrique)</v>
      </c>
      <c r="G398" s="587">
        <f t="shared" si="39"/>
        <v>7</v>
      </c>
      <c r="H398" s="587"/>
      <c r="I398" s="587">
        <v>4</v>
      </c>
      <c r="J398" s="587">
        <f t="shared" si="40"/>
        <v>0</v>
      </c>
      <c r="K398" s="587"/>
      <c r="L398" s="587"/>
      <c r="M398" s="587">
        <f t="shared" si="37"/>
        <v>7</v>
      </c>
      <c r="N398" s="587">
        <f t="shared" si="37"/>
        <v>0</v>
      </c>
      <c r="O398" s="587">
        <f t="shared" si="37"/>
        <v>0</v>
      </c>
      <c r="P398" s="587">
        <f t="shared" si="37"/>
        <v>0</v>
      </c>
    </row>
    <row r="399" spans="2:16">
      <c r="B399" s="587" t="s">
        <v>868</v>
      </c>
      <c r="C399" s="587" t="s">
        <v>869</v>
      </c>
      <c r="D399" s="587" t="s">
        <v>871</v>
      </c>
      <c r="E399" s="587"/>
      <c r="F399" s="587" t="str">
        <f t="shared" si="38"/>
        <v>Marche à pied (exclusivement sur tout le trajet)</v>
      </c>
      <c r="G399" s="587">
        <f t="shared" si="39"/>
        <v>7</v>
      </c>
      <c r="H399" s="587"/>
      <c r="I399" s="587">
        <v>10</v>
      </c>
      <c r="J399" s="587">
        <f t="shared" si="40"/>
        <v>0</v>
      </c>
      <c r="K399" s="587"/>
      <c r="L399" s="587"/>
      <c r="M399" s="587">
        <f t="shared" si="37"/>
        <v>7</v>
      </c>
      <c r="N399" s="587">
        <f t="shared" si="37"/>
        <v>0</v>
      </c>
      <c r="O399" s="587">
        <f t="shared" si="37"/>
        <v>0</v>
      </c>
      <c r="P399" s="587">
        <f t="shared" si="37"/>
        <v>0</v>
      </c>
    </row>
    <row r="400" spans="2:16">
      <c r="B400" s="587" t="s">
        <v>868</v>
      </c>
      <c r="C400" s="587" t="s">
        <v>869</v>
      </c>
      <c r="D400" s="587" t="s">
        <v>877</v>
      </c>
      <c r="E400" s="587"/>
      <c r="F400" s="587" t="str">
        <f t="shared" si="38"/>
        <v>Vélo’v</v>
      </c>
      <c r="G400" s="587">
        <f t="shared" si="39"/>
        <v>7</v>
      </c>
      <c r="H400" s="587"/>
      <c r="I400" s="587">
        <v>15</v>
      </c>
      <c r="J400" s="587">
        <f t="shared" si="40"/>
        <v>0</v>
      </c>
      <c r="K400" s="587"/>
      <c r="L400" s="587"/>
      <c r="M400" s="587">
        <f t="shared" si="37"/>
        <v>7</v>
      </c>
      <c r="N400" s="587">
        <f t="shared" si="37"/>
        <v>0</v>
      </c>
      <c r="O400" s="587">
        <f t="shared" si="37"/>
        <v>0</v>
      </c>
      <c r="P400" s="587">
        <f t="shared" si="37"/>
        <v>0</v>
      </c>
    </row>
    <row r="401" spans="2:16">
      <c r="B401" s="587" t="s">
        <v>868</v>
      </c>
      <c r="C401" s="587" t="s">
        <v>869</v>
      </c>
      <c r="D401" s="587" t="s">
        <v>871</v>
      </c>
      <c r="E401" s="587"/>
      <c r="F401" s="587" t="str">
        <f t="shared" si="38"/>
        <v>Marche à pied (exclusivement sur tout le trajet)</v>
      </c>
      <c r="G401" s="587">
        <f t="shared" si="39"/>
        <v>7</v>
      </c>
      <c r="H401" s="587"/>
      <c r="I401" s="587">
        <v>10</v>
      </c>
      <c r="J401" s="587">
        <f t="shared" si="40"/>
        <v>0</v>
      </c>
      <c r="K401" s="587"/>
      <c r="L401" s="587"/>
      <c r="M401" s="587">
        <f t="shared" si="37"/>
        <v>7</v>
      </c>
      <c r="N401" s="587">
        <f t="shared" si="37"/>
        <v>0</v>
      </c>
      <c r="O401" s="587">
        <f t="shared" si="37"/>
        <v>0</v>
      </c>
      <c r="P401" s="587">
        <f t="shared" si="37"/>
        <v>0</v>
      </c>
    </row>
    <row r="402" spans="2:16">
      <c r="B402" s="587" t="s">
        <v>868</v>
      </c>
      <c r="C402" s="587" t="s">
        <v>875</v>
      </c>
      <c r="D402" s="587" t="s">
        <v>872</v>
      </c>
      <c r="E402" s="587"/>
      <c r="F402" s="587" t="str">
        <f t="shared" si="38"/>
        <v>Vélo personnel (y compris vélo à assistance électrique)</v>
      </c>
      <c r="G402" s="587">
        <f t="shared" si="39"/>
        <v>7</v>
      </c>
      <c r="H402" s="587"/>
      <c r="I402" s="587">
        <v>35</v>
      </c>
      <c r="J402" s="587">
        <f t="shared" si="40"/>
        <v>0</v>
      </c>
      <c r="K402" s="587"/>
      <c r="L402" s="587"/>
      <c r="M402" s="587">
        <f t="shared" si="37"/>
        <v>0</v>
      </c>
      <c r="N402" s="587">
        <f t="shared" si="37"/>
        <v>7</v>
      </c>
      <c r="O402" s="587">
        <f t="shared" si="37"/>
        <v>0</v>
      </c>
      <c r="P402" s="587">
        <f t="shared" si="37"/>
        <v>0</v>
      </c>
    </row>
    <row r="403" spans="2:16">
      <c r="B403" s="587" t="s">
        <v>868</v>
      </c>
      <c r="C403" s="587" t="s">
        <v>869</v>
      </c>
      <c r="D403" s="587" t="s">
        <v>873</v>
      </c>
      <c r="E403" s="587"/>
      <c r="F403" s="587" t="str">
        <f t="shared" si="38"/>
        <v>Tramway</v>
      </c>
      <c r="G403" s="587">
        <f t="shared" si="39"/>
        <v>1</v>
      </c>
      <c r="H403" s="587"/>
      <c r="I403" s="587">
        <v>10</v>
      </c>
      <c r="J403" s="587">
        <f t="shared" si="40"/>
        <v>4.8833333333333326E-2</v>
      </c>
      <c r="K403" s="587"/>
      <c r="L403" s="587"/>
      <c r="M403" s="587">
        <f t="shared" si="37"/>
        <v>1</v>
      </c>
      <c r="N403" s="587">
        <f t="shared" si="37"/>
        <v>0</v>
      </c>
      <c r="O403" s="587">
        <f t="shared" si="37"/>
        <v>0</v>
      </c>
      <c r="P403" s="587">
        <f t="shared" si="37"/>
        <v>0</v>
      </c>
    </row>
    <row r="404" spans="2:16">
      <c r="B404" s="587" t="s">
        <v>868</v>
      </c>
      <c r="C404" s="587" t="s">
        <v>869</v>
      </c>
      <c r="D404" s="587" t="s">
        <v>873</v>
      </c>
      <c r="E404" s="587"/>
      <c r="F404" s="587" t="str">
        <f t="shared" si="38"/>
        <v>Tramway</v>
      </c>
      <c r="G404" s="587">
        <f t="shared" si="39"/>
        <v>1</v>
      </c>
      <c r="H404" s="587"/>
      <c r="I404" s="587">
        <v>15</v>
      </c>
      <c r="J404" s="587">
        <f t="shared" si="40"/>
        <v>4.8833333333333326E-2</v>
      </c>
      <c r="K404" s="587"/>
      <c r="L404" s="587"/>
      <c r="M404" s="587">
        <f t="shared" si="37"/>
        <v>1</v>
      </c>
      <c r="N404" s="587">
        <f t="shared" si="37"/>
        <v>0</v>
      </c>
      <c r="O404" s="587">
        <f t="shared" si="37"/>
        <v>0</v>
      </c>
      <c r="P404" s="587">
        <f t="shared" si="37"/>
        <v>0</v>
      </c>
    </row>
    <row r="405" spans="2:16">
      <c r="B405" s="587" t="s">
        <v>868</v>
      </c>
      <c r="C405" s="587" t="s">
        <v>869</v>
      </c>
      <c r="D405" s="587" t="s">
        <v>871</v>
      </c>
      <c r="E405" s="587"/>
      <c r="F405" s="587" t="str">
        <f t="shared" si="38"/>
        <v>Marche à pied (exclusivement sur tout le trajet)</v>
      </c>
      <c r="G405" s="587">
        <f t="shared" si="39"/>
        <v>7</v>
      </c>
      <c r="H405" s="587"/>
      <c r="I405" s="587">
        <v>5</v>
      </c>
      <c r="J405" s="587">
        <f t="shared" si="40"/>
        <v>0</v>
      </c>
      <c r="K405" s="587"/>
      <c r="L405" s="587"/>
      <c r="M405" s="587">
        <f t="shared" si="37"/>
        <v>7</v>
      </c>
      <c r="N405" s="587">
        <f t="shared" si="37"/>
        <v>0</v>
      </c>
      <c r="O405" s="587">
        <f t="shared" si="37"/>
        <v>0</v>
      </c>
      <c r="P405" s="587">
        <f t="shared" si="37"/>
        <v>0</v>
      </c>
    </row>
    <row r="406" spans="2:16">
      <c r="B406" s="587" t="s">
        <v>868</v>
      </c>
      <c r="C406" s="587" t="s">
        <v>869</v>
      </c>
      <c r="D406" s="587" t="s">
        <v>871</v>
      </c>
      <c r="E406" s="587"/>
      <c r="F406" s="587" t="str">
        <f t="shared" si="38"/>
        <v>Marche à pied (exclusivement sur tout le trajet)</v>
      </c>
      <c r="G406" s="587">
        <f t="shared" si="39"/>
        <v>7</v>
      </c>
      <c r="H406" s="587"/>
      <c r="I406" s="587">
        <v>10</v>
      </c>
      <c r="J406" s="587">
        <f t="shared" si="40"/>
        <v>0</v>
      </c>
      <c r="K406" s="587"/>
      <c r="L406" s="587"/>
      <c r="M406" s="587">
        <f t="shared" si="37"/>
        <v>7</v>
      </c>
      <c r="N406" s="587">
        <f t="shared" si="37"/>
        <v>0</v>
      </c>
      <c r="O406" s="587">
        <f t="shared" si="37"/>
        <v>0</v>
      </c>
      <c r="P406" s="587">
        <f t="shared" si="37"/>
        <v>0</v>
      </c>
    </row>
    <row r="407" spans="2:16">
      <c r="B407" s="587" t="s">
        <v>868</v>
      </c>
      <c r="C407" s="587" t="s">
        <v>869</v>
      </c>
      <c r="D407" s="587" t="s">
        <v>872</v>
      </c>
      <c r="E407" s="587"/>
      <c r="F407" s="587" t="str">
        <f t="shared" si="38"/>
        <v>Vélo personnel (y compris vélo à assistance électrique)</v>
      </c>
      <c r="G407" s="587">
        <f t="shared" si="39"/>
        <v>7</v>
      </c>
      <c r="H407" s="587"/>
      <c r="I407" s="587">
        <v>15</v>
      </c>
      <c r="J407" s="587">
        <f t="shared" si="40"/>
        <v>0</v>
      </c>
      <c r="K407" s="587"/>
      <c r="L407" s="587"/>
      <c r="M407" s="587">
        <f t="shared" si="37"/>
        <v>7</v>
      </c>
      <c r="N407" s="587">
        <f t="shared" si="37"/>
        <v>0</v>
      </c>
      <c r="O407" s="587">
        <f t="shared" si="37"/>
        <v>0</v>
      </c>
      <c r="P407" s="587">
        <f t="shared" si="37"/>
        <v>0</v>
      </c>
    </row>
    <row r="408" spans="2:16">
      <c r="B408" s="587" t="s">
        <v>868</v>
      </c>
      <c r="C408" s="587" t="s">
        <v>869</v>
      </c>
      <c r="D408" s="587" t="s">
        <v>872</v>
      </c>
      <c r="E408" s="587"/>
      <c r="F408" s="587" t="str">
        <f t="shared" si="38"/>
        <v>Vélo personnel (y compris vélo à assistance électrique)</v>
      </c>
      <c r="G408" s="587">
        <f t="shared" si="39"/>
        <v>7</v>
      </c>
      <c r="H408" s="587"/>
      <c r="I408" s="587">
        <v>7</v>
      </c>
      <c r="J408" s="587">
        <f t="shared" si="40"/>
        <v>0</v>
      </c>
      <c r="K408" s="587"/>
      <c r="L408" s="587"/>
      <c r="M408" s="587">
        <f t="shared" si="37"/>
        <v>7</v>
      </c>
      <c r="N408" s="587">
        <f t="shared" si="37"/>
        <v>0</v>
      </c>
      <c r="O408" s="587">
        <f t="shared" si="37"/>
        <v>0</v>
      </c>
      <c r="P408" s="587">
        <f t="shared" si="37"/>
        <v>0</v>
      </c>
    </row>
    <row r="409" spans="2:16">
      <c r="B409" s="587" t="s">
        <v>868</v>
      </c>
      <c r="C409" s="587" t="s">
        <v>869</v>
      </c>
      <c r="D409" s="587" t="s">
        <v>871</v>
      </c>
      <c r="E409" s="587"/>
      <c r="F409" s="587" t="str">
        <f t="shared" si="38"/>
        <v>Marche à pied (exclusivement sur tout le trajet)</v>
      </c>
      <c r="G409" s="587">
        <f t="shared" si="39"/>
        <v>7</v>
      </c>
      <c r="H409" s="587"/>
      <c r="I409" s="587">
        <v>8</v>
      </c>
      <c r="J409" s="587">
        <f t="shared" si="40"/>
        <v>0</v>
      </c>
      <c r="K409" s="587"/>
      <c r="L409" s="587"/>
      <c r="M409" s="587">
        <f t="shared" si="37"/>
        <v>7</v>
      </c>
      <c r="N409" s="587">
        <f t="shared" si="37"/>
        <v>0</v>
      </c>
      <c r="O409" s="587">
        <f t="shared" si="37"/>
        <v>0</v>
      </c>
      <c r="P409" s="587">
        <f t="shared" si="37"/>
        <v>0</v>
      </c>
    </row>
    <row r="410" spans="2:16">
      <c r="B410" s="587" t="s">
        <v>868</v>
      </c>
      <c r="C410" s="587" t="s">
        <v>869</v>
      </c>
      <c r="D410" s="587" t="s">
        <v>871</v>
      </c>
      <c r="E410" s="587"/>
      <c r="F410" s="587" t="str">
        <f t="shared" si="38"/>
        <v>Marche à pied (exclusivement sur tout le trajet)</v>
      </c>
      <c r="G410" s="587">
        <f t="shared" si="39"/>
        <v>7</v>
      </c>
      <c r="H410" s="587"/>
      <c r="I410" s="587">
        <v>10</v>
      </c>
      <c r="J410" s="587">
        <f t="shared" si="40"/>
        <v>0</v>
      </c>
      <c r="K410" s="587"/>
      <c r="L410" s="587"/>
      <c r="M410" s="587">
        <f t="shared" si="37"/>
        <v>7</v>
      </c>
      <c r="N410" s="587">
        <f t="shared" si="37"/>
        <v>0</v>
      </c>
      <c r="O410" s="587">
        <f t="shared" si="37"/>
        <v>0</v>
      </c>
      <c r="P410" s="587">
        <f t="shared" si="37"/>
        <v>0</v>
      </c>
    </row>
    <row r="411" spans="2:16">
      <c r="B411" s="587" t="s">
        <v>868</v>
      </c>
      <c r="C411" s="587" t="s">
        <v>869</v>
      </c>
      <c r="D411" s="587" t="s">
        <v>871</v>
      </c>
      <c r="E411" s="587"/>
      <c r="F411" s="587" t="str">
        <f t="shared" si="38"/>
        <v>Marche à pied (exclusivement sur tout le trajet)</v>
      </c>
      <c r="G411" s="587">
        <f t="shared" si="39"/>
        <v>7</v>
      </c>
      <c r="H411" s="587"/>
      <c r="I411" s="587">
        <v>10</v>
      </c>
      <c r="J411" s="587">
        <f t="shared" si="40"/>
        <v>0</v>
      </c>
      <c r="K411" s="587"/>
      <c r="L411" s="587"/>
      <c r="M411" s="587">
        <f t="shared" si="37"/>
        <v>7</v>
      </c>
      <c r="N411" s="587">
        <f t="shared" si="37"/>
        <v>0</v>
      </c>
      <c r="O411" s="587">
        <f t="shared" si="37"/>
        <v>0</v>
      </c>
      <c r="P411" s="587">
        <f t="shared" si="37"/>
        <v>0</v>
      </c>
    </row>
    <row r="412" spans="2:16">
      <c r="B412" s="587" t="s">
        <v>868</v>
      </c>
      <c r="C412" s="587" t="s">
        <v>869</v>
      </c>
      <c r="D412" s="587" t="s">
        <v>873</v>
      </c>
      <c r="E412" s="587"/>
      <c r="F412" s="587" t="str">
        <f t="shared" si="38"/>
        <v>Tramway</v>
      </c>
      <c r="G412" s="587">
        <f t="shared" si="39"/>
        <v>1</v>
      </c>
      <c r="H412" s="587"/>
      <c r="I412" s="587"/>
      <c r="J412" s="587">
        <f t="shared" si="40"/>
        <v>4.8833333333333326E-2</v>
      </c>
      <c r="K412" s="587"/>
      <c r="L412" s="587"/>
      <c r="M412" s="587">
        <f t="shared" si="37"/>
        <v>1</v>
      </c>
      <c r="N412" s="587">
        <f t="shared" si="37"/>
        <v>0</v>
      </c>
      <c r="O412" s="587">
        <f t="shared" si="37"/>
        <v>0</v>
      </c>
      <c r="P412" s="587">
        <f t="shared" si="37"/>
        <v>0</v>
      </c>
    </row>
    <row r="413" spans="2:16">
      <c r="B413" s="587" t="s">
        <v>868</v>
      </c>
      <c r="C413" s="587" t="s">
        <v>869</v>
      </c>
      <c r="D413" s="587" t="s">
        <v>871</v>
      </c>
      <c r="E413" s="587"/>
      <c r="F413" s="587" t="str">
        <f t="shared" si="38"/>
        <v>Marche à pied (exclusivement sur tout le trajet)</v>
      </c>
      <c r="G413" s="587">
        <f t="shared" si="39"/>
        <v>7</v>
      </c>
      <c r="H413" s="587"/>
      <c r="I413" s="587">
        <v>15</v>
      </c>
      <c r="J413" s="587">
        <f t="shared" si="40"/>
        <v>0</v>
      </c>
      <c r="K413" s="587"/>
      <c r="L413" s="587"/>
      <c r="M413" s="587">
        <f t="shared" si="37"/>
        <v>7</v>
      </c>
      <c r="N413" s="587">
        <f t="shared" si="37"/>
        <v>0</v>
      </c>
      <c r="O413" s="587">
        <f t="shared" si="37"/>
        <v>0</v>
      </c>
      <c r="P413" s="587">
        <f t="shared" ref="P413:P476" si="41">IF($C413=P$27,$G413,0)</f>
        <v>0</v>
      </c>
    </row>
    <row r="414" spans="2:16">
      <c r="B414" s="587" t="s">
        <v>868</v>
      </c>
      <c r="C414" s="587" t="s">
        <v>869</v>
      </c>
      <c r="D414" s="587" t="s">
        <v>876</v>
      </c>
      <c r="E414" s="587"/>
      <c r="F414" s="587" t="str">
        <f t="shared" si="38"/>
        <v>Trottinette, roller, skateboard,...</v>
      </c>
      <c r="G414" s="587">
        <f t="shared" si="39"/>
        <v>7</v>
      </c>
      <c r="H414" s="587"/>
      <c r="I414" s="587">
        <v>5</v>
      </c>
      <c r="J414" s="587">
        <f t="shared" si="40"/>
        <v>0</v>
      </c>
      <c r="K414" s="587"/>
      <c r="L414" s="587"/>
      <c r="M414" s="587">
        <f t="shared" ref="M414:O473" si="42">IF($C414=M$27,$G414,0)</f>
        <v>7</v>
      </c>
      <c r="N414" s="587">
        <f t="shared" si="42"/>
        <v>0</v>
      </c>
      <c r="O414" s="587">
        <f t="shared" si="42"/>
        <v>0</v>
      </c>
      <c r="P414" s="587">
        <f t="shared" si="41"/>
        <v>0</v>
      </c>
    </row>
    <row r="415" spans="2:16">
      <c r="B415" s="587" t="s">
        <v>868</v>
      </c>
      <c r="C415" s="587" t="s">
        <v>869</v>
      </c>
      <c r="D415" s="587"/>
      <c r="E415" s="587" t="s">
        <v>873</v>
      </c>
      <c r="F415" s="587" t="str">
        <f t="shared" si="38"/>
        <v>Tramway</v>
      </c>
      <c r="G415" s="587">
        <f t="shared" si="39"/>
        <v>1</v>
      </c>
      <c r="H415" s="587"/>
      <c r="I415" s="587">
        <v>10</v>
      </c>
      <c r="J415" s="587">
        <f t="shared" si="40"/>
        <v>4.8833333333333326E-2</v>
      </c>
      <c r="K415" s="587"/>
      <c r="L415" s="587"/>
      <c r="M415" s="587">
        <f t="shared" si="42"/>
        <v>1</v>
      </c>
      <c r="N415" s="587">
        <f t="shared" si="42"/>
        <v>0</v>
      </c>
      <c r="O415" s="587">
        <f t="shared" si="42"/>
        <v>0</v>
      </c>
      <c r="P415" s="587">
        <f t="shared" si="41"/>
        <v>0</v>
      </c>
    </row>
    <row r="416" spans="2:16">
      <c r="B416" s="587" t="s">
        <v>868</v>
      </c>
      <c r="C416" s="587" t="s">
        <v>869</v>
      </c>
      <c r="D416" s="587" t="s">
        <v>871</v>
      </c>
      <c r="E416" s="587"/>
      <c r="F416" s="587" t="str">
        <f t="shared" si="38"/>
        <v>Marche à pied (exclusivement sur tout le trajet)</v>
      </c>
      <c r="G416" s="587">
        <f t="shared" si="39"/>
        <v>7</v>
      </c>
      <c r="H416" s="587"/>
      <c r="I416" s="587">
        <v>10</v>
      </c>
      <c r="J416" s="587">
        <f t="shared" si="40"/>
        <v>0</v>
      </c>
      <c r="K416" s="587"/>
      <c r="L416" s="587"/>
      <c r="M416" s="587">
        <f t="shared" si="42"/>
        <v>7</v>
      </c>
      <c r="N416" s="587">
        <f t="shared" si="42"/>
        <v>0</v>
      </c>
      <c r="O416" s="587">
        <f t="shared" si="42"/>
        <v>0</v>
      </c>
      <c r="P416" s="587">
        <f t="shared" si="41"/>
        <v>0</v>
      </c>
    </row>
    <row r="417" spans="2:16">
      <c r="B417" s="587" t="s">
        <v>868</v>
      </c>
      <c r="C417" s="587" t="s">
        <v>869</v>
      </c>
      <c r="D417" s="587" t="s">
        <v>872</v>
      </c>
      <c r="E417" s="587"/>
      <c r="F417" s="587" t="str">
        <f t="shared" si="38"/>
        <v>Vélo personnel (y compris vélo à assistance électrique)</v>
      </c>
      <c r="G417" s="587">
        <f t="shared" si="39"/>
        <v>7</v>
      </c>
      <c r="H417" s="587"/>
      <c r="I417" s="587">
        <v>5</v>
      </c>
      <c r="J417" s="587">
        <f t="shared" si="40"/>
        <v>0</v>
      </c>
      <c r="K417" s="587"/>
      <c r="L417" s="587"/>
      <c r="M417" s="587">
        <f t="shared" si="42"/>
        <v>7</v>
      </c>
      <c r="N417" s="587">
        <f t="shared" si="42"/>
        <v>0</v>
      </c>
      <c r="O417" s="587">
        <f t="shared" si="42"/>
        <v>0</v>
      </c>
      <c r="P417" s="587">
        <f t="shared" si="41"/>
        <v>0</v>
      </c>
    </row>
    <row r="418" spans="2:16">
      <c r="B418" s="587" t="s">
        <v>868</v>
      </c>
      <c r="C418" s="587" t="s">
        <v>869</v>
      </c>
      <c r="D418" s="587" t="s">
        <v>871</v>
      </c>
      <c r="E418" s="587"/>
      <c r="F418" s="587" t="str">
        <f t="shared" si="38"/>
        <v>Marche à pied (exclusivement sur tout le trajet)</v>
      </c>
      <c r="G418" s="587">
        <f t="shared" si="39"/>
        <v>7</v>
      </c>
      <c r="H418" s="587"/>
      <c r="I418" s="587">
        <v>2</v>
      </c>
      <c r="J418" s="587">
        <f t="shared" si="40"/>
        <v>0</v>
      </c>
      <c r="K418" s="587"/>
      <c r="L418" s="587"/>
      <c r="M418" s="587">
        <f t="shared" si="42"/>
        <v>7</v>
      </c>
      <c r="N418" s="587">
        <f t="shared" si="42"/>
        <v>0</v>
      </c>
      <c r="O418" s="587">
        <f t="shared" si="42"/>
        <v>0</v>
      </c>
      <c r="P418" s="587">
        <f t="shared" si="41"/>
        <v>0</v>
      </c>
    </row>
    <row r="419" spans="2:16">
      <c r="B419" s="587" t="s">
        <v>868</v>
      </c>
      <c r="C419" s="587" t="s">
        <v>869</v>
      </c>
      <c r="D419" s="587" t="s">
        <v>872</v>
      </c>
      <c r="E419" s="587"/>
      <c r="F419" s="587" t="str">
        <f t="shared" si="38"/>
        <v>Vélo personnel (y compris vélo à assistance électrique)</v>
      </c>
      <c r="G419" s="587">
        <f t="shared" si="39"/>
        <v>7</v>
      </c>
      <c r="H419" s="587"/>
      <c r="I419" s="587">
        <v>10</v>
      </c>
      <c r="J419" s="587">
        <f t="shared" si="40"/>
        <v>0</v>
      </c>
      <c r="K419" s="587"/>
      <c r="L419" s="587"/>
      <c r="M419" s="587">
        <f t="shared" si="42"/>
        <v>7</v>
      </c>
      <c r="N419" s="587">
        <f t="shared" si="42"/>
        <v>0</v>
      </c>
      <c r="O419" s="587">
        <f t="shared" si="42"/>
        <v>0</v>
      </c>
      <c r="P419" s="587">
        <f t="shared" si="41"/>
        <v>0</v>
      </c>
    </row>
    <row r="420" spans="2:16">
      <c r="B420" s="587" t="s">
        <v>868</v>
      </c>
      <c r="C420" s="587" t="s">
        <v>869</v>
      </c>
      <c r="D420" s="587" t="s">
        <v>871</v>
      </c>
      <c r="E420" s="587"/>
      <c r="F420" s="587" t="str">
        <f t="shared" si="38"/>
        <v>Marche à pied (exclusivement sur tout le trajet)</v>
      </c>
      <c r="G420" s="587">
        <f t="shared" si="39"/>
        <v>7</v>
      </c>
      <c r="H420" s="587"/>
      <c r="I420" s="587">
        <v>3</v>
      </c>
      <c r="J420" s="587">
        <f t="shared" si="40"/>
        <v>0</v>
      </c>
      <c r="K420" s="587"/>
      <c r="L420" s="587"/>
      <c r="M420" s="587">
        <f t="shared" si="42"/>
        <v>7</v>
      </c>
      <c r="N420" s="587">
        <f t="shared" si="42"/>
        <v>0</v>
      </c>
      <c r="O420" s="587">
        <f t="shared" si="42"/>
        <v>0</v>
      </c>
      <c r="P420" s="587">
        <f t="shared" si="41"/>
        <v>0</v>
      </c>
    </row>
    <row r="421" spans="2:16">
      <c r="B421" s="587" t="s">
        <v>868</v>
      </c>
      <c r="C421" s="587" t="s">
        <v>869</v>
      </c>
      <c r="D421" s="587" t="s">
        <v>848</v>
      </c>
      <c r="E421" s="587"/>
      <c r="F421" s="587" t="str">
        <f t="shared" si="38"/>
        <v>Bus</v>
      </c>
      <c r="G421" s="587">
        <f t="shared" si="39"/>
        <v>2</v>
      </c>
      <c r="H421" s="587"/>
      <c r="I421" s="587">
        <v>25</v>
      </c>
      <c r="J421" s="587">
        <f t="shared" si="40"/>
        <v>1.29</v>
      </c>
      <c r="K421" s="587"/>
      <c r="L421" s="587"/>
      <c r="M421" s="587">
        <f t="shared" si="42"/>
        <v>2</v>
      </c>
      <c r="N421" s="587">
        <f t="shared" si="42"/>
        <v>0</v>
      </c>
      <c r="O421" s="587">
        <f t="shared" si="42"/>
        <v>0</v>
      </c>
      <c r="P421" s="587">
        <f t="shared" si="41"/>
        <v>0</v>
      </c>
    </row>
    <row r="422" spans="2:16">
      <c r="B422" s="587" t="s">
        <v>868</v>
      </c>
      <c r="C422" s="587" t="s">
        <v>869</v>
      </c>
      <c r="D422" s="587" t="s">
        <v>872</v>
      </c>
      <c r="E422" s="587"/>
      <c r="F422" s="587" t="str">
        <f t="shared" si="38"/>
        <v>Vélo personnel (y compris vélo à assistance électrique)</v>
      </c>
      <c r="G422" s="587">
        <f t="shared" si="39"/>
        <v>7</v>
      </c>
      <c r="H422" s="587"/>
      <c r="I422" s="587">
        <v>10</v>
      </c>
      <c r="J422" s="587">
        <f t="shared" si="40"/>
        <v>0</v>
      </c>
      <c r="K422" s="587"/>
      <c r="L422" s="587"/>
      <c r="M422" s="587">
        <f t="shared" si="42"/>
        <v>7</v>
      </c>
      <c r="N422" s="587">
        <f t="shared" si="42"/>
        <v>0</v>
      </c>
      <c r="O422" s="587">
        <f t="shared" si="42"/>
        <v>0</v>
      </c>
      <c r="P422" s="587">
        <f t="shared" si="41"/>
        <v>0</v>
      </c>
    </row>
    <row r="423" spans="2:16">
      <c r="B423" s="587" t="s">
        <v>868</v>
      </c>
      <c r="C423" s="587" t="s">
        <v>869</v>
      </c>
      <c r="D423" s="587" t="s">
        <v>873</v>
      </c>
      <c r="E423" s="587"/>
      <c r="F423" s="587" t="str">
        <f t="shared" si="38"/>
        <v>Tramway</v>
      </c>
      <c r="G423" s="587">
        <f t="shared" si="39"/>
        <v>1</v>
      </c>
      <c r="H423" s="587"/>
      <c r="I423" s="587">
        <v>5</v>
      </c>
      <c r="J423" s="587">
        <f t="shared" si="40"/>
        <v>4.8833333333333326E-2</v>
      </c>
      <c r="K423" s="587"/>
      <c r="L423" s="587"/>
      <c r="M423" s="587">
        <f t="shared" si="42"/>
        <v>1</v>
      </c>
      <c r="N423" s="587">
        <f t="shared" si="42"/>
        <v>0</v>
      </c>
      <c r="O423" s="587">
        <f t="shared" si="42"/>
        <v>0</v>
      </c>
      <c r="P423" s="587">
        <f t="shared" si="41"/>
        <v>0</v>
      </c>
    </row>
    <row r="424" spans="2:16">
      <c r="B424" s="587" t="s">
        <v>868</v>
      </c>
      <c r="C424" s="587" t="s">
        <v>869</v>
      </c>
      <c r="D424" s="587" t="s">
        <v>871</v>
      </c>
      <c r="E424" s="587"/>
      <c r="F424" s="587" t="str">
        <f t="shared" si="38"/>
        <v>Marche à pied (exclusivement sur tout le trajet)</v>
      </c>
      <c r="G424" s="587">
        <f t="shared" si="39"/>
        <v>7</v>
      </c>
      <c r="H424" s="587"/>
      <c r="I424" s="587">
        <v>10</v>
      </c>
      <c r="J424" s="587">
        <f t="shared" si="40"/>
        <v>0</v>
      </c>
      <c r="K424" s="587"/>
      <c r="L424" s="587"/>
      <c r="M424" s="587">
        <f t="shared" si="42"/>
        <v>7</v>
      </c>
      <c r="N424" s="587">
        <f t="shared" si="42"/>
        <v>0</v>
      </c>
      <c r="O424" s="587">
        <f t="shared" si="42"/>
        <v>0</v>
      </c>
      <c r="P424" s="587">
        <f t="shared" si="41"/>
        <v>0</v>
      </c>
    </row>
    <row r="425" spans="2:16">
      <c r="B425" s="587" t="s">
        <v>868</v>
      </c>
      <c r="C425" s="587" t="s">
        <v>869</v>
      </c>
      <c r="D425" s="587" t="s">
        <v>871</v>
      </c>
      <c r="E425" s="587"/>
      <c r="F425" s="587" t="str">
        <f t="shared" si="38"/>
        <v>Marche à pied (exclusivement sur tout le trajet)</v>
      </c>
      <c r="G425" s="587">
        <f t="shared" si="39"/>
        <v>7</v>
      </c>
      <c r="H425" s="587"/>
      <c r="I425" s="587">
        <v>5</v>
      </c>
      <c r="J425" s="587">
        <f t="shared" si="40"/>
        <v>0</v>
      </c>
      <c r="K425" s="587"/>
      <c r="L425" s="587"/>
      <c r="M425" s="587">
        <f t="shared" si="42"/>
        <v>7</v>
      </c>
      <c r="N425" s="587">
        <f t="shared" si="42"/>
        <v>0</v>
      </c>
      <c r="O425" s="587">
        <f t="shared" si="42"/>
        <v>0</v>
      </c>
      <c r="P425" s="587">
        <f t="shared" si="41"/>
        <v>0</v>
      </c>
    </row>
    <row r="426" spans="2:16">
      <c r="B426" s="587" t="s">
        <v>868</v>
      </c>
      <c r="C426" s="587" t="s">
        <v>869</v>
      </c>
      <c r="D426" s="587" t="s">
        <v>872</v>
      </c>
      <c r="E426" s="587"/>
      <c r="F426" s="587" t="str">
        <f t="shared" si="38"/>
        <v>Vélo personnel (y compris vélo à assistance électrique)</v>
      </c>
      <c r="G426" s="587">
        <f t="shared" si="39"/>
        <v>7</v>
      </c>
      <c r="H426" s="587"/>
      <c r="I426" s="587">
        <v>5</v>
      </c>
      <c r="J426" s="587">
        <f t="shared" si="40"/>
        <v>0</v>
      </c>
      <c r="K426" s="587"/>
      <c r="L426" s="587"/>
      <c r="M426" s="587">
        <f t="shared" si="42"/>
        <v>7</v>
      </c>
      <c r="N426" s="587">
        <f t="shared" si="42"/>
        <v>0</v>
      </c>
      <c r="O426" s="587">
        <f t="shared" si="42"/>
        <v>0</v>
      </c>
      <c r="P426" s="587">
        <f t="shared" si="41"/>
        <v>0</v>
      </c>
    </row>
    <row r="427" spans="2:16">
      <c r="B427" s="587" t="s">
        <v>868</v>
      </c>
      <c r="C427" s="587" t="s">
        <v>869</v>
      </c>
      <c r="D427" s="587" t="s">
        <v>872</v>
      </c>
      <c r="E427" s="587"/>
      <c r="F427" s="587" t="str">
        <f t="shared" si="38"/>
        <v>Vélo personnel (y compris vélo à assistance électrique)</v>
      </c>
      <c r="G427" s="587">
        <f t="shared" si="39"/>
        <v>7</v>
      </c>
      <c r="H427" s="587"/>
      <c r="I427" s="587">
        <v>12</v>
      </c>
      <c r="J427" s="587">
        <f t="shared" si="40"/>
        <v>0</v>
      </c>
      <c r="K427" s="587"/>
      <c r="L427" s="587"/>
      <c r="M427" s="587">
        <f t="shared" si="42"/>
        <v>7</v>
      </c>
      <c r="N427" s="587">
        <f t="shared" si="42"/>
        <v>0</v>
      </c>
      <c r="O427" s="587">
        <f t="shared" si="42"/>
        <v>0</v>
      </c>
      <c r="P427" s="587">
        <f t="shared" si="41"/>
        <v>0</v>
      </c>
    </row>
    <row r="428" spans="2:16">
      <c r="B428" s="587" t="s">
        <v>868</v>
      </c>
      <c r="C428" s="587" t="s">
        <v>869</v>
      </c>
      <c r="D428" s="587" t="s">
        <v>871</v>
      </c>
      <c r="E428" s="587"/>
      <c r="F428" s="587" t="str">
        <f t="shared" si="38"/>
        <v>Marche à pied (exclusivement sur tout le trajet)</v>
      </c>
      <c r="G428" s="587">
        <f t="shared" si="39"/>
        <v>7</v>
      </c>
      <c r="H428" s="587"/>
      <c r="I428" s="587">
        <v>10</v>
      </c>
      <c r="J428" s="587">
        <f t="shared" si="40"/>
        <v>0</v>
      </c>
      <c r="K428" s="587"/>
      <c r="L428" s="587"/>
      <c r="M428" s="587">
        <f t="shared" si="42"/>
        <v>7</v>
      </c>
      <c r="N428" s="587">
        <f t="shared" si="42"/>
        <v>0</v>
      </c>
      <c r="O428" s="587">
        <f t="shared" si="42"/>
        <v>0</v>
      </c>
      <c r="P428" s="587">
        <f t="shared" si="41"/>
        <v>0</v>
      </c>
    </row>
    <row r="429" spans="2:16">
      <c r="B429" s="587" t="s">
        <v>868</v>
      </c>
      <c r="C429" s="587" t="s">
        <v>869</v>
      </c>
      <c r="D429" s="587" t="s">
        <v>876</v>
      </c>
      <c r="E429" s="587"/>
      <c r="F429" s="587" t="str">
        <f t="shared" si="38"/>
        <v>Trottinette, roller, skateboard,...</v>
      </c>
      <c r="G429" s="587">
        <f t="shared" si="39"/>
        <v>7</v>
      </c>
      <c r="H429" s="587"/>
      <c r="I429" s="587">
        <v>2</v>
      </c>
      <c r="J429" s="587">
        <f t="shared" si="40"/>
        <v>0</v>
      </c>
      <c r="K429" s="587"/>
      <c r="L429" s="587"/>
      <c r="M429" s="587">
        <f t="shared" si="42"/>
        <v>7</v>
      </c>
      <c r="N429" s="587">
        <f t="shared" si="42"/>
        <v>0</v>
      </c>
      <c r="O429" s="587">
        <f t="shared" si="42"/>
        <v>0</v>
      </c>
      <c r="P429" s="587">
        <f t="shared" si="41"/>
        <v>0</v>
      </c>
    </row>
    <row r="430" spans="2:16">
      <c r="B430" s="587" t="s">
        <v>868</v>
      </c>
      <c r="C430" s="587" t="s">
        <v>869</v>
      </c>
      <c r="D430" s="587" t="s">
        <v>877</v>
      </c>
      <c r="E430" s="587"/>
      <c r="F430" s="587" t="str">
        <f t="shared" si="38"/>
        <v>Vélo’v</v>
      </c>
      <c r="G430" s="587">
        <f t="shared" si="39"/>
        <v>7</v>
      </c>
      <c r="H430" s="587"/>
      <c r="I430" s="587">
        <v>20</v>
      </c>
      <c r="J430" s="587">
        <f t="shared" si="40"/>
        <v>0</v>
      </c>
      <c r="K430" s="587"/>
      <c r="L430" s="587"/>
      <c r="M430" s="587">
        <f t="shared" si="42"/>
        <v>7</v>
      </c>
      <c r="N430" s="587">
        <f t="shared" si="42"/>
        <v>0</v>
      </c>
      <c r="O430" s="587">
        <f t="shared" si="42"/>
        <v>0</v>
      </c>
      <c r="P430" s="587">
        <f t="shared" si="41"/>
        <v>0</v>
      </c>
    </row>
    <row r="431" spans="2:16">
      <c r="B431" s="587" t="s">
        <v>868</v>
      </c>
      <c r="C431" s="587" t="s">
        <v>869</v>
      </c>
      <c r="D431" s="587" t="s">
        <v>876</v>
      </c>
      <c r="E431" s="587"/>
      <c r="F431" s="587" t="str">
        <f t="shared" si="38"/>
        <v>Trottinette, roller, skateboard,...</v>
      </c>
      <c r="G431" s="587">
        <f t="shared" si="39"/>
        <v>7</v>
      </c>
      <c r="H431" s="587"/>
      <c r="I431" s="587">
        <v>5</v>
      </c>
      <c r="J431" s="587">
        <f t="shared" si="40"/>
        <v>0</v>
      </c>
      <c r="K431" s="587"/>
      <c r="L431" s="587"/>
      <c r="M431" s="587">
        <f t="shared" si="42"/>
        <v>7</v>
      </c>
      <c r="N431" s="587">
        <f t="shared" si="42"/>
        <v>0</v>
      </c>
      <c r="O431" s="587">
        <f t="shared" si="42"/>
        <v>0</v>
      </c>
      <c r="P431" s="587">
        <f t="shared" si="41"/>
        <v>0</v>
      </c>
    </row>
    <row r="432" spans="2:16">
      <c r="B432" s="587" t="s">
        <v>868</v>
      </c>
      <c r="C432" s="587" t="s">
        <v>869</v>
      </c>
      <c r="D432" s="587" t="s">
        <v>871</v>
      </c>
      <c r="E432" s="587"/>
      <c r="F432" s="587" t="str">
        <f t="shared" ref="F432:F495" si="43">IF(D432="",E432,D432)</f>
        <v>Marche à pied (exclusivement sur tout le trajet)</v>
      </c>
      <c r="G432" s="587">
        <f t="shared" ref="G432:G495" si="44">IF(F432="Métro",1,IF(F432="Tramway",1,IF(F432="Vélo'v",7,IF(F432="Marche à pied (exclusivement sur tout le trajet)",7,IF(F432="Vélo personnel (y compris vélo à assistance électrique)",7,IF(F432="Trottinette, roller, skateboard,…",7,IF(F432="Marche à pied au-delà de 5 minutes",7,IF(F432="Voiture (seul(e))",3,IF(F432="Bus",2,IF(F432="Trottinette, roller, skateboard au-delà de 5 minutes",7,IF(F432="Covoiturage (passager(ère))",4,IF(F432="Trottinette, roller, skateboard,...",7,IF(F432="Vélo’v",7,IF(F432="Train (TER,TGV,...)",6,IF(F432="Deux roues motorisées (moto, scooter, mobylette,…)",5,IF(F432="Covoiturage (conducteur(trice))",4,IF(F432="Train (TER,..)",6,0)))))))))))))))))</f>
        <v>7</v>
      </c>
      <c r="H432" s="587"/>
      <c r="I432" s="587">
        <v>15</v>
      </c>
      <c r="J432" s="587">
        <f t="shared" ref="J432:J495" si="45">IF(G432=1,$C$6*($I$28*$K$6)/$J$6,IF(G432=2,$C$7*($I$28*$K$7)/$J$7,IF(G432=3,$C$8*$I$28*$K$8/$J$8,IF(G432=4,$C$9*$I$28*$K$9/$J$9,IF(G432=5,$C$10*$I$28*$K$10/$J$10,IF(G432=6,$C$11*$K$11*$I$28/$J$11,0))))))</f>
        <v>0</v>
      </c>
      <c r="K432" s="587"/>
      <c r="L432" s="587"/>
      <c r="M432" s="587">
        <f t="shared" si="42"/>
        <v>7</v>
      </c>
      <c r="N432" s="587">
        <f t="shared" si="42"/>
        <v>0</v>
      </c>
      <c r="O432" s="587">
        <f t="shared" si="42"/>
        <v>0</v>
      </c>
      <c r="P432" s="587">
        <f t="shared" si="41"/>
        <v>0</v>
      </c>
    </row>
    <row r="433" spans="2:16">
      <c r="B433" s="587" t="s">
        <v>868</v>
      </c>
      <c r="C433" s="587" t="s">
        <v>869</v>
      </c>
      <c r="D433" s="587" t="s">
        <v>872</v>
      </c>
      <c r="E433" s="587"/>
      <c r="F433" s="587" t="str">
        <f t="shared" si="43"/>
        <v>Vélo personnel (y compris vélo à assistance électrique)</v>
      </c>
      <c r="G433" s="587">
        <f t="shared" si="44"/>
        <v>7</v>
      </c>
      <c r="H433" s="587"/>
      <c r="I433" s="587">
        <v>7</v>
      </c>
      <c r="J433" s="587">
        <f t="shared" si="45"/>
        <v>0</v>
      </c>
      <c r="K433" s="587"/>
      <c r="L433" s="587"/>
      <c r="M433" s="587">
        <f t="shared" si="42"/>
        <v>7</v>
      </c>
      <c r="N433" s="587">
        <f t="shared" si="42"/>
        <v>0</v>
      </c>
      <c r="O433" s="587">
        <f t="shared" si="42"/>
        <v>0</v>
      </c>
      <c r="P433" s="587">
        <f t="shared" si="41"/>
        <v>0</v>
      </c>
    </row>
    <row r="434" spans="2:16">
      <c r="B434" s="587" t="s">
        <v>868</v>
      </c>
      <c r="C434" s="587" t="s">
        <v>869</v>
      </c>
      <c r="D434" s="587" t="s">
        <v>871</v>
      </c>
      <c r="E434" s="587"/>
      <c r="F434" s="587" t="str">
        <f t="shared" si="43"/>
        <v>Marche à pied (exclusivement sur tout le trajet)</v>
      </c>
      <c r="G434" s="587">
        <f t="shared" si="44"/>
        <v>7</v>
      </c>
      <c r="H434" s="587"/>
      <c r="I434" s="587">
        <v>3</v>
      </c>
      <c r="J434" s="587">
        <f t="shared" si="45"/>
        <v>0</v>
      </c>
      <c r="K434" s="587"/>
      <c r="L434" s="587"/>
      <c r="M434" s="587">
        <f t="shared" si="42"/>
        <v>7</v>
      </c>
      <c r="N434" s="587">
        <f t="shared" si="42"/>
        <v>0</v>
      </c>
      <c r="O434" s="587">
        <f t="shared" si="42"/>
        <v>0</v>
      </c>
      <c r="P434" s="587">
        <f t="shared" si="41"/>
        <v>0</v>
      </c>
    </row>
    <row r="435" spans="2:16">
      <c r="B435" s="587" t="s">
        <v>868</v>
      </c>
      <c r="C435" s="587" t="s">
        <v>869</v>
      </c>
      <c r="D435" s="587" t="s">
        <v>871</v>
      </c>
      <c r="E435" s="587"/>
      <c r="F435" s="587" t="str">
        <f t="shared" si="43"/>
        <v>Marche à pied (exclusivement sur tout le trajet)</v>
      </c>
      <c r="G435" s="587">
        <f t="shared" si="44"/>
        <v>7</v>
      </c>
      <c r="H435" s="587"/>
      <c r="I435" s="587">
        <v>2</v>
      </c>
      <c r="J435" s="587">
        <f t="shared" si="45"/>
        <v>0</v>
      </c>
      <c r="K435" s="587"/>
      <c r="L435" s="587"/>
      <c r="M435" s="587">
        <f t="shared" si="42"/>
        <v>7</v>
      </c>
      <c r="N435" s="587">
        <f t="shared" si="42"/>
        <v>0</v>
      </c>
      <c r="O435" s="587">
        <f t="shared" si="42"/>
        <v>0</v>
      </c>
      <c r="P435" s="587">
        <f t="shared" si="41"/>
        <v>0</v>
      </c>
    </row>
    <row r="436" spans="2:16">
      <c r="B436" s="587" t="s">
        <v>868</v>
      </c>
      <c r="C436" s="587" t="s">
        <v>869</v>
      </c>
      <c r="D436" s="587" t="s">
        <v>872</v>
      </c>
      <c r="E436" s="587"/>
      <c r="F436" s="587" t="str">
        <f t="shared" si="43"/>
        <v>Vélo personnel (y compris vélo à assistance électrique)</v>
      </c>
      <c r="G436" s="587">
        <f t="shared" si="44"/>
        <v>7</v>
      </c>
      <c r="H436" s="587"/>
      <c r="I436" s="587">
        <v>12</v>
      </c>
      <c r="J436" s="587">
        <f t="shared" si="45"/>
        <v>0</v>
      </c>
      <c r="K436" s="587"/>
      <c r="L436" s="587"/>
      <c r="M436" s="587">
        <f t="shared" si="42"/>
        <v>7</v>
      </c>
      <c r="N436" s="587">
        <f t="shared" si="42"/>
        <v>0</v>
      </c>
      <c r="O436" s="587">
        <f t="shared" si="42"/>
        <v>0</v>
      </c>
      <c r="P436" s="587">
        <f t="shared" si="41"/>
        <v>0</v>
      </c>
    </row>
    <row r="437" spans="2:16">
      <c r="B437" s="587" t="s">
        <v>868</v>
      </c>
      <c r="C437" s="587" t="s">
        <v>869</v>
      </c>
      <c r="D437" s="587" t="s">
        <v>871</v>
      </c>
      <c r="E437" s="587"/>
      <c r="F437" s="587" t="str">
        <f t="shared" si="43"/>
        <v>Marche à pied (exclusivement sur tout le trajet)</v>
      </c>
      <c r="G437" s="587">
        <f t="shared" si="44"/>
        <v>7</v>
      </c>
      <c r="H437" s="587"/>
      <c r="I437" s="587">
        <v>5</v>
      </c>
      <c r="J437" s="587">
        <f t="shared" si="45"/>
        <v>0</v>
      </c>
      <c r="K437" s="587"/>
      <c r="L437" s="587"/>
      <c r="M437" s="587">
        <f t="shared" si="42"/>
        <v>7</v>
      </c>
      <c r="N437" s="587">
        <f t="shared" si="42"/>
        <v>0</v>
      </c>
      <c r="O437" s="587">
        <f t="shared" si="42"/>
        <v>0</v>
      </c>
      <c r="P437" s="587">
        <f t="shared" si="41"/>
        <v>0</v>
      </c>
    </row>
    <row r="438" spans="2:16">
      <c r="B438" s="587" t="s">
        <v>868</v>
      </c>
      <c r="C438" s="587" t="s">
        <v>875</v>
      </c>
      <c r="D438" s="587"/>
      <c r="E438" s="587" t="s">
        <v>872</v>
      </c>
      <c r="F438" s="587" t="str">
        <f t="shared" si="43"/>
        <v>Vélo personnel (y compris vélo à assistance électrique)</v>
      </c>
      <c r="G438" s="587">
        <f t="shared" si="44"/>
        <v>7</v>
      </c>
      <c r="H438" s="587"/>
      <c r="I438" s="587">
        <v>25</v>
      </c>
      <c r="J438" s="587">
        <f t="shared" si="45"/>
        <v>0</v>
      </c>
      <c r="K438" s="587"/>
      <c r="L438" s="587"/>
      <c r="M438" s="587">
        <f t="shared" si="42"/>
        <v>0</v>
      </c>
      <c r="N438" s="587">
        <f t="shared" si="42"/>
        <v>7</v>
      </c>
      <c r="O438" s="587">
        <f t="shared" si="42"/>
        <v>0</v>
      </c>
      <c r="P438" s="587">
        <f t="shared" si="41"/>
        <v>0</v>
      </c>
    </row>
    <row r="439" spans="2:16">
      <c r="B439" s="587" t="s">
        <v>868</v>
      </c>
      <c r="C439" s="587" t="s">
        <v>869</v>
      </c>
      <c r="D439" s="587"/>
      <c r="E439" s="587" t="s">
        <v>878</v>
      </c>
      <c r="F439" s="587" t="str">
        <f t="shared" si="43"/>
        <v>Marche à pied au-delà de 5 minutes</v>
      </c>
      <c r="G439" s="587">
        <f t="shared" si="44"/>
        <v>7</v>
      </c>
      <c r="H439" s="587"/>
      <c r="I439" s="587">
        <v>45</v>
      </c>
      <c r="J439" s="587">
        <f t="shared" si="45"/>
        <v>0</v>
      </c>
      <c r="K439" s="587"/>
      <c r="L439" s="587"/>
      <c r="M439" s="587">
        <f t="shared" si="42"/>
        <v>7</v>
      </c>
      <c r="N439" s="587">
        <f t="shared" si="42"/>
        <v>0</v>
      </c>
      <c r="O439" s="587">
        <f t="shared" si="42"/>
        <v>0</v>
      </c>
      <c r="P439" s="587">
        <f t="shared" si="41"/>
        <v>0</v>
      </c>
    </row>
    <row r="440" spans="2:16">
      <c r="B440" s="587" t="s">
        <v>868</v>
      </c>
      <c r="C440" s="587" t="s">
        <v>869</v>
      </c>
      <c r="D440" s="587" t="s">
        <v>872</v>
      </c>
      <c r="E440" s="587"/>
      <c r="F440" s="587" t="str">
        <f t="shared" si="43"/>
        <v>Vélo personnel (y compris vélo à assistance électrique)</v>
      </c>
      <c r="G440" s="587">
        <f t="shared" si="44"/>
        <v>7</v>
      </c>
      <c r="H440" s="587"/>
      <c r="I440" s="587">
        <v>4</v>
      </c>
      <c r="J440" s="587">
        <f t="shared" si="45"/>
        <v>0</v>
      </c>
      <c r="K440" s="587"/>
      <c r="L440" s="587"/>
      <c r="M440" s="587">
        <f t="shared" si="42"/>
        <v>7</v>
      </c>
      <c r="N440" s="587">
        <f t="shared" si="42"/>
        <v>0</v>
      </c>
      <c r="O440" s="587">
        <f t="shared" si="42"/>
        <v>0</v>
      </c>
      <c r="P440" s="587">
        <f t="shared" si="41"/>
        <v>0</v>
      </c>
    </row>
    <row r="441" spans="2:16">
      <c r="B441" s="587" t="s">
        <v>868</v>
      </c>
      <c r="C441" s="587" t="s">
        <v>869</v>
      </c>
      <c r="D441" s="587" t="s">
        <v>872</v>
      </c>
      <c r="E441" s="587"/>
      <c r="F441" s="587" t="str">
        <f t="shared" si="43"/>
        <v>Vélo personnel (y compris vélo à assistance électrique)</v>
      </c>
      <c r="G441" s="587">
        <f t="shared" si="44"/>
        <v>7</v>
      </c>
      <c r="H441" s="587"/>
      <c r="I441" s="587">
        <v>15</v>
      </c>
      <c r="J441" s="587">
        <f t="shared" si="45"/>
        <v>0</v>
      </c>
      <c r="K441" s="587"/>
      <c r="L441" s="587"/>
      <c r="M441" s="587">
        <f t="shared" si="42"/>
        <v>7</v>
      </c>
      <c r="N441" s="587">
        <f t="shared" si="42"/>
        <v>0</v>
      </c>
      <c r="O441" s="587">
        <f t="shared" si="42"/>
        <v>0</v>
      </c>
      <c r="P441" s="587">
        <f t="shared" si="41"/>
        <v>0</v>
      </c>
    </row>
    <row r="442" spans="2:16">
      <c r="B442" s="587" t="s">
        <v>868</v>
      </c>
      <c r="C442" s="587" t="s">
        <v>869</v>
      </c>
      <c r="D442" s="587" t="s">
        <v>871</v>
      </c>
      <c r="E442" s="587"/>
      <c r="F442" s="587" t="str">
        <f t="shared" si="43"/>
        <v>Marche à pied (exclusivement sur tout le trajet)</v>
      </c>
      <c r="G442" s="587">
        <f t="shared" si="44"/>
        <v>7</v>
      </c>
      <c r="H442" s="587"/>
      <c r="I442" s="587">
        <v>15</v>
      </c>
      <c r="J442" s="587">
        <f t="shared" si="45"/>
        <v>0</v>
      </c>
      <c r="K442" s="587"/>
      <c r="L442" s="587"/>
      <c r="M442" s="587">
        <f t="shared" si="42"/>
        <v>7</v>
      </c>
      <c r="N442" s="587">
        <f t="shared" si="42"/>
        <v>0</v>
      </c>
      <c r="O442" s="587">
        <f t="shared" si="42"/>
        <v>0</v>
      </c>
      <c r="P442" s="587">
        <f t="shared" si="41"/>
        <v>0</v>
      </c>
    </row>
    <row r="443" spans="2:16">
      <c r="B443" s="587" t="s">
        <v>868</v>
      </c>
      <c r="C443" s="587" t="s">
        <v>875</v>
      </c>
      <c r="D443" s="587" t="s">
        <v>872</v>
      </c>
      <c r="E443" s="587"/>
      <c r="F443" s="587" t="str">
        <f t="shared" si="43"/>
        <v>Vélo personnel (y compris vélo à assistance électrique)</v>
      </c>
      <c r="G443" s="587">
        <f t="shared" si="44"/>
        <v>7</v>
      </c>
      <c r="H443" s="587"/>
      <c r="I443" s="587">
        <v>10</v>
      </c>
      <c r="J443" s="587">
        <f t="shared" si="45"/>
        <v>0</v>
      </c>
      <c r="K443" s="587"/>
      <c r="L443" s="587"/>
      <c r="M443" s="587">
        <f t="shared" si="42"/>
        <v>0</v>
      </c>
      <c r="N443" s="587">
        <f t="shared" si="42"/>
        <v>7</v>
      </c>
      <c r="O443" s="587">
        <f t="shared" si="42"/>
        <v>0</v>
      </c>
      <c r="P443" s="587">
        <f t="shared" si="41"/>
        <v>0</v>
      </c>
    </row>
    <row r="444" spans="2:16">
      <c r="B444" s="587" t="s">
        <v>868</v>
      </c>
      <c r="C444" s="587" t="s">
        <v>869</v>
      </c>
      <c r="D444" s="587" t="s">
        <v>872</v>
      </c>
      <c r="E444" s="587"/>
      <c r="F444" s="587" t="str">
        <f t="shared" si="43"/>
        <v>Vélo personnel (y compris vélo à assistance électrique)</v>
      </c>
      <c r="G444" s="587">
        <f t="shared" si="44"/>
        <v>7</v>
      </c>
      <c r="H444" s="587"/>
      <c r="I444" s="587">
        <v>3</v>
      </c>
      <c r="J444" s="587">
        <f t="shared" si="45"/>
        <v>0</v>
      </c>
      <c r="K444" s="587"/>
      <c r="L444" s="587"/>
      <c r="M444" s="587">
        <f t="shared" si="42"/>
        <v>7</v>
      </c>
      <c r="N444" s="587">
        <f t="shared" si="42"/>
        <v>0</v>
      </c>
      <c r="O444" s="587">
        <f t="shared" si="42"/>
        <v>0</v>
      </c>
      <c r="P444" s="587">
        <f t="shared" si="41"/>
        <v>0</v>
      </c>
    </row>
    <row r="445" spans="2:16">
      <c r="B445" s="587" t="s">
        <v>868</v>
      </c>
      <c r="C445" s="587" t="s">
        <v>875</v>
      </c>
      <c r="D445" s="587"/>
      <c r="E445" s="587" t="s">
        <v>872</v>
      </c>
      <c r="F445" s="587" t="str">
        <f t="shared" si="43"/>
        <v>Vélo personnel (y compris vélo à assistance électrique)</v>
      </c>
      <c r="G445" s="587">
        <f t="shared" si="44"/>
        <v>7</v>
      </c>
      <c r="H445" s="587"/>
      <c r="I445" s="587">
        <v>60</v>
      </c>
      <c r="J445" s="587">
        <f t="shared" si="45"/>
        <v>0</v>
      </c>
      <c r="K445" s="587"/>
      <c r="L445" s="587"/>
      <c r="M445" s="587">
        <f t="shared" si="42"/>
        <v>0</v>
      </c>
      <c r="N445" s="587">
        <f t="shared" si="42"/>
        <v>7</v>
      </c>
      <c r="O445" s="587">
        <f t="shared" si="42"/>
        <v>0</v>
      </c>
      <c r="P445" s="587">
        <f t="shared" si="41"/>
        <v>0</v>
      </c>
    </row>
    <row r="446" spans="2:16">
      <c r="B446" s="587" t="s">
        <v>868</v>
      </c>
      <c r="C446" s="587" t="s">
        <v>869</v>
      </c>
      <c r="D446" s="587" t="s">
        <v>871</v>
      </c>
      <c r="E446" s="587"/>
      <c r="F446" s="587" t="str">
        <f t="shared" si="43"/>
        <v>Marche à pied (exclusivement sur tout le trajet)</v>
      </c>
      <c r="G446" s="587">
        <f t="shared" si="44"/>
        <v>7</v>
      </c>
      <c r="H446" s="587"/>
      <c r="I446" s="587">
        <v>5</v>
      </c>
      <c r="J446" s="587">
        <f t="shared" si="45"/>
        <v>0</v>
      </c>
      <c r="K446" s="587"/>
      <c r="L446" s="587"/>
      <c r="M446" s="587">
        <f t="shared" si="42"/>
        <v>7</v>
      </c>
      <c r="N446" s="587">
        <f t="shared" si="42"/>
        <v>0</v>
      </c>
      <c r="O446" s="587">
        <f t="shared" si="42"/>
        <v>0</v>
      </c>
      <c r="P446" s="587">
        <f t="shared" si="41"/>
        <v>0</v>
      </c>
    </row>
    <row r="447" spans="2:16">
      <c r="B447" s="587" t="s">
        <v>868</v>
      </c>
      <c r="C447" s="587" t="s">
        <v>875</v>
      </c>
      <c r="D447" s="587"/>
      <c r="E447" s="587" t="s">
        <v>879</v>
      </c>
      <c r="F447" s="587" t="str">
        <f t="shared" si="43"/>
        <v>Voiture (seul(e))</v>
      </c>
      <c r="G447" s="587">
        <f t="shared" si="44"/>
        <v>3</v>
      </c>
      <c r="H447" s="587"/>
      <c r="I447" s="587">
        <v>70</v>
      </c>
      <c r="J447" s="587">
        <f t="shared" si="45"/>
        <v>2.7600000000000002</v>
      </c>
      <c r="K447" s="587"/>
      <c r="L447" s="587"/>
      <c r="M447" s="587">
        <f t="shared" si="42"/>
        <v>0</v>
      </c>
      <c r="N447" s="587">
        <f t="shared" si="42"/>
        <v>3</v>
      </c>
      <c r="O447" s="587">
        <f t="shared" si="42"/>
        <v>0</v>
      </c>
      <c r="P447" s="587">
        <f t="shared" si="41"/>
        <v>0</v>
      </c>
    </row>
    <row r="448" spans="2:16">
      <c r="B448" s="587" t="s">
        <v>868</v>
      </c>
      <c r="C448" s="587" t="s">
        <v>869</v>
      </c>
      <c r="D448" s="587" t="s">
        <v>872</v>
      </c>
      <c r="E448" s="587"/>
      <c r="F448" s="587" t="str">
        <f t="shared" si="43"/>
        <v>Vélo personnel (y compris vélo à assistance électrique)</v>
      </c>
      <c r="G448" s="587">
        <f t="shared" si="44"/>
        <v>7</v>
      </c>
      <c r="H448" s="587"/>
      <c r="I448" s="587">
        <v>10</v>
      </c>
      <c r="J448" s="587">
        <f t="shared" si="45"/>
        <v>0</v>
      </c>
      <c r="K448" s="587"/>
      <c r="L448" s="587"/>
      <c r="M448" s="587">
        <f t="shared" si="42"/>
        <v>7</v>
      </c>
      <c r="N448" s="587">
        <f t="shared" si="42"/>
        <v>0</v>
      </c>
      <c r="O448" s="587">
        <f t="shared" si="42"/>
        <v>0</v>
      </c>
      <c r="P448" s="587">
        <f t="shared" si="41"/>
        <v>0</v>
      </c>
    </row>
    <row r="449" spans="2:16">
      <c r="B449" s="587" t="s">
        <v>868</v>
      </c>
      <c r="C449" s="587" t="s">
        <v>869</v>
      </c>
      <c r="D449" s="587" t="s">
        <v>871</v>
      </c>
      <c r="E449" s="587"/>
      <c r="F449" s="587" t="str">
        <f t="shared" si="43"/>
        <v>Marche à pied (exclusivement sur tout le trajet)</v>
      </c>
      <c r="G449" s="587">
        <f t="shared" si="44"/>
        <v>7</v>
      </c>
      <c r="H449" s="587"/>
      <c r="I449" s="587">
        <v>4</v>
      </c>
      <c r="J449" s="587">
        <f t="shared" si="45"/>
        <v>0</v>
      </c>
      <c r="K449" s="587"/>
      <c r="L449" s="587"/>
      <c r="M449" s="587">
        <f t="shared" si="42"/>
        <v>7</v>
      </c>
      <c r="N449" s="587">
        <f t="shared" si="42"/>
        <v>0</v>
      </c>
      <c r="O449" s="587">
        <f t="shared" si="42"/>
        <v>0</v>
      </c>
      <c r="P449" s="587">
        <f t="shared" si="41"/>
        <v>0</v>
      </c>
    </row>
    <row r="450" spans="2:16">
      <c r="B450" s="587" t="s">
        <v>868</v>
      </c>
      <c r="C450" s="587" t="s">
        <v>869</v>
      </c>
      <c r="D450" s="587" t="s">
        <v>871</v>
      </c>
      <c r="E450" s="587"/>
      <c r="F450" s="587" t="str">
        <f t="shared" si="43"/>
        <v>Marche à pied (exclusivement sur tout le trajet)</v>
      </c>
      <c r="G450" s="587">
        <f t="shared" si="44"/>
        <v>7</v>
      </c>
      <c r="H450" s="587"/>
      <c r="I450" s="587">
        <v>10</v>
      </c>
      <c r="J450" s="587">
        <f t="shared" si="45"/>
        <v>0</v>
      </c>
      <c r="K450" s="587"/>
      <c r="L450" s="587"/>
      <c r="M450" s="587">
        <f t="shared" si="42"/>
        <v>7</v>
      </c>
      <c r="N450" s="587">
        <f t="shared" si="42"/>
        <v>0</v>
      </c>
      <c r="O450" s="587">
        <f t="shared" si="42"/>
        <v>0</v>
      </c>
      <c r="P450" s="587">
        <f t="shared" si="41"/>
        <v>0</v>
      </c>
    </row>
    <row r="451" spans="2:16">
      <c r="B451" s="587" t="s">
        <v>868</v>
      </c>
      <c r="C451" s="587" t="s">
        <v>869</v>
      </c>
      <c r="D451" s="587" t="s">
        <v>871</v>
      </c>
      <c r="E451" s="587"/>
      <c r="F451" s="587" t="str">
        <f t="shared" si="43"/>
        <v>Marche à pied (exclusivement sur tout le trajet)</v>
      </c>
      <c r="G451" s="587">
        <f t="shared" si="44"/>
        <v>7</v>
      </c>
      <c r="H451" s="587"/>
      <c r="I451" s="587">
        <v>5</v>
      </c>
      <c r="J451" s="587">
        <f t="shared" si="45"/>
        <v>0</v>
      </c>
      <c r="K451" s="587"/>
      <c r="L451" s="587"/>
      <c r="M451" s="587">
        <f t="shared" si="42"/>
        <v>7</v>
      </c>
      <c r="N451" s="587">
        <f t="shared" si="42"/>
        <v>0</v>
      </c>
      <c r="O451" s="587">
        <f t="shared" si="42"/>
        <v>0</v>
      </c>
      <c r="P451" s="587">
        <f t="shared" si="41"/>
        <v>0</v>
      </c>
    </row>
    <row r="452" spans="2:16">
      <c r="B452" s="587" t="s">
        <v>868</v>
      </c>
      <c r="C452" s="587" t="s">
        <v>869</v>
      </c>
      <c r="D452" s="587" t="s">
        <v>871</v>
      </c>
      <c r="E452" s="587"/>
      <c r="F452" s="587" t="str">
        <f t="shared" si="43"/>
        <v>Marche à pied (exclusivement sur tout le trajet)</v>
      </c>
      <c r="G452" s="587">
        <f t="shared" si="44"/>
        <v>7</v>
      </c>
      <c r="H452" s="587"/>
      <c r="I452" s="587">
        <v>10</v>
      </c>
      <c r="J452" s="587">
        <f t="shared" si="45"/>
        <v>0</v>
      </c>
      <c r="K452" s="587"/>
      <c r="L452" s="587"/>
      <c r="M452" s="587">
        <f t="shared" si="42"/>
        <v>7</v>
      </c>
      <c r="N452" s="587">
        <f t="shared" si="42"/>
        <v>0</v>
      </c>
      <c r="O452" s="587">
        <f t="shared" si="42"/>
        <v>0</v>
      </c>
      <c r="P452" s="587">
        <f t="shared" si="41"/>
        <v>0</v>
      </c>
    </row>
    <row r="453" spans="2:16">
      <c r="B453" s="587" t="s">
        <v>868</v>
      </c>
      <c r="C453" s="587" t="s">
        <v>869</v>
      </c>
      <c r="D453" s="587" t="s">
        <v>871</v>
      </c>
      <c r="E453" s="587"/>
      <c r="F453" s="587" t="str">
        <f t="shared" si="43"/>
        <v>Marche à pied (exclusivement sur tout le trajet)</v>
      </c>
      <c r="G453" s="587">
        <f t="shared" si="44"/>
        <v>7</v>
      </c>
      <c r="H453" s="587"/>
      <c r="I453" s="587">
        <v>10</v>
      </c>
      <c r="J453" s="587">
        <f t="shared" si="45"/>
        <v>0</v>
      </c>
      <c r="K453" s="587"/>
      <c r="L453" s="587"/>
      <c r="M453" s="587">
        <f t="shared" si="42"/>
        <v>7</v>
      </c>
      <c r="N453" s="587">
        <f t="shared" si="42"/>
        <v>0</v>
      </c>
      <c r="O453" s="587">
        <f t="shared" si="42"/>
        <v>0</v>
      </c>
      <c r="P453" s="587">
        <f t="shared" si="41"/>
        <v>0</v>
      </c>
    </row>
    <row r="454" spans="2:16">
      <c r="B454" s="587" t="s">
        <v>868</v>
      </c>
      <c r="C454" s="587" t="s">
        <v>869</v>
      </c>
      <c r="D454" s="587" t="s">
        <v>872</v>
      </c>
      <c r="E454" s="587"/>
      <c r="F454" s="587" t="str">
        <f t="shared" si="43"/>
        <v>Vélo personnel (y compris vélo à assistance électrique)</v>
      </c>
      <c r="G454" s="587">
        <f t="shared" si="44"/>
        <v>7</v>
      </c>
      <c r="H454" s="587"/>
      <c r="I454" s="587">
        <v>15</v>
      </c>
      <c r="J454" s="587">
        <f t="shared" si="45"/>
        <v>0</v>
      </c>
      <c r="K454" s="587"/>
      <c r="L454" s="587"/>
      <c r="M454" s="587">
        <f t="shared" si="42"/>
        <v>7</v>
      </c>
      <c r="N454" s="587">
        <f t="shared" si="42"/>
        <v>0</v>
      </c>
      <c r="O454" s="587">
        <f t="shared" si="42"/>
        <v>0</v>
      </c>
      <c r="P454" s="587">
        <f t="shared" si="41"/>
        <v>0</v>
      </c>
    </row>
    <row r="455" spans="2:16">
      <c r="B455" s="587" t="s">
        <v>868</v>
      </c>
      <c r="C455" s="587" t="s">
        <v>869</v>
      </c>
      <c r="D455" s="587" t="s">
        <v>876</v>
      </c>
      <c r="E455" s="587"/>
      <c r="F455" s="587" t="str">
        <f t="shared" si="43"/>
        <v>Trottinette, roller, skateboard,...</v>
      </c>
      <c r="G455" s="587">
        <f t="shared" si="44"/>
        <v>7</v>
      </c>
      <c r="H455" s="587"/>
      <c r="I455" s="587">
        <v>5</v>
      </c>
      <c r="J455" s="587">
        <f t="shared" si="45"/>
        <v>0</v>
      </c>
      <c r="K455" s="587"/>
      <c r="L455" s="587"/>
      <c r="M455" s="587">
        <f t="shared" si="42"/>
        <v>7</v>
      </c>
      <c r="N455" s="587">
        <f t="shared" si="42"/>
        <v>0</v>
      </c>
      <c r="O455" s="587">
        <f t="shared" si="42"/>
        <v>0</v>
      </c>
      <c r="P455" s="587">
        <f t="shared" si="41"/>
        <v>0</v>
      </c>
    </row>
    <row r="456" spans="2:16">
      <c r="B456" s="587" t="s">
        <v>868</v>
      </c>
      <c r="C456" s="587" t="s">
        <v>869</v>
      </c>
      <c r="D456" s="587" t="s">
        <v>871</v>
      </c>
      <c r="E456" s="587"/>
      <c r="F456" s="587" t="str">
        <f t="shared" si="43"/>
        <v>Marche à pied (exclusivement sur tout le trajet)</v>
      </c>
      <c r="G456" s="587">
        <f t="shared" si="44"/>
        <v>7</v>
      </c>
      <c r="H456" s="587"/>
      <c r="I456" s="587">
        <v>2</v>
      </c>
      <c r="J456" s="587">
        <f t="shared" si="45"/>
        <v>0</v>
      </c>
      <c r="K456" s="587"/>
      <c r="L456" s="587"/>
      <c r="M456" s="587">
        <f t="shared" si="42"/>
        <v>7</v>
      </c>
      <c r="N456" s="587">
        <f t="shared" si="42"/>
        <v>0</v>
      </c>
      <c r="O456" s="587">
        <f t="shared" si="42"/>
        <v>0</v>
      </c>
      <c r="P456" s="587">
        <f t="shared" si="41"/>
        <v>0</v>
      </c>
    </row>
    <row r="457" spans="2:16">
      <c r="B457" s="587" t="s">
        <v>868</v>
      </c>
      <c r="C457" s="587" t="s">
        <v>869</v>
      </c>
      <c r="D457" s="587" t="s">
        <v>872</v>
      </c>
      <c r="E457" s="587"/>
      <c r="F457" s="587" t="str">
        <f t="shared" si="43"/>
        <v>Vélo personnel (y compris vélo à assistance électrique)</v>
      </c>
      <c r="G457" s="587">
        <f t="shared" si="44"/>
        <v>7</v>
      </c>
      <c r="H457" s="587"/>
      <c r="I457" s="587">
        <v>15</v>
      </c>
      <c r="J457" s="587">
        <f t="shared" si="45"/>
        <v>0</v>
      </c>
      <c r="K457" s="587"/>
      <c r="L457" s="587"/>
      <c r="M457" s="587">
        <f t="shared" si="42"/>
        <v>7</v>
      </c>
      <c r="N457" s="587">
        <f t="shared" si="42"/>
        <v>0</v>
      </c>
      <c r="O457" s="587">
        <f t="shared" si="42"/>
        <v>0</v>
      </c>
      <c r="P457" s="587">
        <f t="shared" si="41"/>
        <v>0</v>
      </c>
    </row>
    <row r="458" spans="2:16">
      <c r="B458" s="587" t="s">
        <v>868</v>
      </c>
      <c r="C458" s="587" t="s">
        <v>869</v>
      </c>
      <c r="D458" s="587" t="s">
        <v>876</v>
      </c>
      <c r="E458" s="587"/>
      <c r="F458" s="587" t="str">
        <f t="shared" si="43"/>
        <v>Trottinette, roller, skateboard,...</v>
      </c>
      <c r="G458" s="587">
        <f t="shared" si="44"/>
        <v>7</v>
      </c>
      <c r="H458" s="587"/>
      <c r="I458" s="587">
        <v>10</v>
      </c>
      <c r="J458" s="587">
        <f t="shared" si="45"/>
        <v>0</v>
      </c>
      <c r="K458" s="587"/>
      <c r="L458" s="587"/>
      <c r="M458" s="587">
        <f t="shared" si="42"/>
        <v>7</v>
      </c>
      <c r="N458" s="587">
        <f t="shared" si="42"/>
        <v>0</v>
      </c>
      <c r="O458" s="587">
        <f t="shared" si="42"/>
        <v>0</v>
      </c>
      <c r="P458" s="587">
        <f t="shared" si="41"/>
        <v>0</v>
      </c>
    </row>
    <row r="459" spans="2:16">
      <c r="B459" s="587" t="s">
        <v>868</v>
      </c>
      <c r="C459" s="587" t="s">
        <v>869</v>
      </c>
      <c r="D459" s="587" t="s">
        <v>871</v>
      </c>
      <c r="E459" s="587"/>
      <c r="F459" s="587" t="str">
        <f t="shared" si="43"/>
        <v>Marche à pied (exclusivement sur tout le trajet)</v>
      </c>
      <c r="G459" s="587">
        <f t="shared" si="44"/>
        <v>7</v>
      </c>
      <c r="H459" s="587"/>
      <c r="I459" s="587">
        <v>5</v>
      </c>
      <c r="J459" s="587">
        <f t="shared" si="45"/>
        <v>0</v>
      </c>
      <c r="K459" s="587"/>
      <c r="L459" s="587"/>
      <c r="M459" s="587">
        <f t="shared" si="42"/>
        <v>7</v>
      </c>
      <c r="N459" s="587">
        <f t="shared" si="42"/>
        <v>0</v>
      </c>
      <c r="O459" s="587">
        <f t="shared" si="42"/>
        <v>0</v>
      </c>
      <c r="P459" s="587">
        <f t="shared" si="41"/>
        <v>0</v>
      </c>
    </row>
    <row r="460" spans="2:16">
      <c r="B460" s="587" t="s">
        <v>868</v>
      </c>
      <c r="C460" s="587" t="s">
        <v>869</v>
      </c>
      <c r="D460" s="587" t="s">
        <v>876</v>
      </c>
      <c r="E460" s="587"/>
      <c r="F460" s="587" t="str">
        <f t="shared" si="43"/>
        <v>Trottinette, roller, skateboard,...</v>
      </c>
      <c r="G460" s="587">
        <f t="shared" si="44"/>
        <v>7</v>
      </c>
      <c r="H460" s="587"/>
      <c r="I460" s="587">
        <v>5</v>
      </c>
      <c r="J460" s="587">
        <f t="shared" si="45"/>
        <v>0</v>
      </c>
      <c r="K460" s="587"/>
      <c r="L460" s="587"/>
      <c r="M460" s="587">
        <f t="shared" si="42"/>
        <v>7</v>
      </c>
      <c r="N460" s="587">
        <f t="shared" si="42"/>
        <v>0</v>
      </c>
      <c r="O460" s="587">
        <f t="shared" si="42"/>
        <v>0</v>
      </c>
      <c r="P460" s="587">
        <f t="shared" si="41"/>
        <v>0</v>
      </c>
    </row>
    <row r="461" spans="2:16">
      <c r="B461" s="587" t="s">
        <v>868</v>
      </c>
      <c r="C461" s="587" t="s">
        <v>869</v>
      </c>
      <c r="D461" s="587" t="s">
        <v>871</v>
      </c>
      <c r="E461" s="587"/>
      <c r="F461" s="587" t="str">
        <f t="shared" si="43"/>
        <v>Marche à pied (exclusivement sur tout le trajet)</v>
      </c>
      <c r="G461" s="587">
        <f t="shared" si="44"/>
        <v>7</v>
      </c>
      <c r="H461" s="587"/>
      <c r="I461" s="587">
        <v>10</v>
      </c>
      <c r="J461" s="587">
        <f t="shared" si="45"/>
        <v>0</v>
      </c>
      <c r="K461" s="587"/>
      <c r="L461" s="587"/>
      <c r="M461" s="587">
        <f t="shared" si="42"/>
        <v>7</v>
      </c>
      <c r="N461" s="587">
        <f t="shared" si="42"/>
        <v>0</v>
      </c>
      <c r="O461" s="587">
        <f t="shared" si="42"/>
        <v>0</v>
      </c>
      <c r="P461" s="587">
        <f t="shared" si="41"/>
        <v>0</v>
      </c>
    </row>
    <row r="462" spans="2:16">
      <c r="B462" s="587" t="s">
        <v>868</v>
      </c>
      <c r="C462" s="587" t="s">
        <v>869</v>
      </c>
      <c r="D462" s="587" t="s">
        <v>872</v>
      </c>
      <c r="E462" s="587"/>
      <c r="F462" s="587" t="str">
        <f t="shared" si="43"/>
        <v>Vélo personnel (y compris vélo à assistance électrique)</v>
      </c>
      <c r="G462" s="587">
        <f t="shared" si="44"/>
        <v>7</v>
      </c>
      <c r="H462" s="587"/>
      <c r="I462" s="587">
        <v>15</v>
      </c>
      <c r="J462" s="587">
        <f t="shared" si="45"/>
        <v>0</v>
      </c>
      <c r="K462" s="587"/>
      <c r="L462" s="587"/>
      <c r="M462" s="587">
        <f t="shared" si="42"/>
        <v>7</v>
      </c>
      <c r="N462" s="587">
        <f t="shared" si="42"/>
        <v>0</v>
      </c>
      <c r="O462" s="587">
        <f t="shared" si="42"/>
        <v>0</v>
      </c>
      <c r="P462" s="587">
        <f t="shared" si="41"/>
        <v>0</v>
      </c>
    </row>
    <row r="463" spans="2:16">
      <c r="B463" s="587" t="s">
        <v>868</v>
      </c>
      <c r="C463" s="587" t="s">
        <v>882</v>
      </c>
      <c r="D463" s="587" t="s">
        <v>879</v>
      </c>
      <c r="E463" s="587"/>
      <c r="F463" s="587" t="str">
        <f t="shared" si="43"/>
        <v>Voiture (seul(e))</v>
      </c>
      <c r="G463" s="587">
        <f t="shared" si="44"/>
        <v>3</v>
      </c>
      <c r="H463" s="587"/>
      <c r="I463" s="587">
        <v>40</v>
      </c>
      <c r="J463" s="587">
        <f t="shared" si="45"/>
        <v>2.7600000000000002</v>
      </c>
      <c r="K463" s="587"/>
      <c r="L463" s="587"/>
      <c r="M463" s="587">
        <f t="shared" si="42"/>
        <v>0</v>
      </c>
      <c r="N463" s="587">
        <f t="shared" si="42"/>
        <v>0</v>
      </c>
      <c r="O463" s="587">
        <f t="shared" si="42"/>
        <v>3</v>
      </c>
      <c r="P463" s="587">
        <f t="shared" si="41"/>
        <v>0</v>
      </c>
    </row>
    <row r="464" spans="2:16">
      <c r="B464" s="587" t="s">
        <v>868</v>
      </c>
      <c r="C464" s="587" t="s">
        <v>869</v>
      </c>
      <c r="D464" s="587" t="s">
        <v>871</v>
      </c>
      <c r="E464" s="587"/>
      <c r="F464" s="587" t="str">
        <f t="shared" si="43"/>
        <v>Marche à pied (exclusivement sur tout le trajet)</v>
      </c>
      <c r="G464" s="587">
        <f t="shared" si="44"/>
        <v>7</v>
      </c>
      <c r="H464" s="587"/>
      <c r="I464" s="587">
        <v>15</v>
      </c>
      <c r="J464" s="587">
        <f t="shared" si="45"/>
        <v>0</v>
      </c>
      <c r="K464" s="587"/>
      <c r="L464" s="587"/>
      <c r="M464" s="587">
        <f t="shared" si="42"/>
        <v>7</v>
      </c>
      <c r="N464" s="587">
        <f t="shared" si="42"/>
        <v>0</v>
      </c>
      <c r="O464" s="587">
        <f t="shared" si="42"/>
        <v>0</v>
      </c>
      <c r="P464" s="587">
        <f t="shared" si="41"/>
        <v>0</v>
      </c>
    </row>
    <row r="465" spans="2:16">
      <c r="B465" s="587" t="s">
        <v>868</v>
      </c>
      <c r="C465" s="587" t="s">
        <v>869</v>
      </c>
      <c r="D465" s="587" t="s">
        <v>871</v>
      </c>
      <c r="E465" s="587"/>
      <c r="F465" s="587" t="str">
        <f t="shared" si="43"/>
        <v>Marche à pied (exclusivement sur tout le trajet)</v>
      </c>
      <c r="G465" s="587">
        <f t="shared" si="44"/>
        <v>7</v>
      </c>
      <c r="H465" s="587"/>
      <c r="I465" s="587">
        <v>15</v>
      </c>
      <c r="J465" s="587">
        <f t="shared" si="45"/>
        <v>0</v>
      </c>
      <c r="K465" s="587"/>
      <c r="L465" s="587"/>
      <c r="M465" s="587">
        <f t="shared" si="42"/>
        <v>7</v>
      </c>
      <c r="N465" s="587">
        <f t="shared" si="42"/>
        <v>0</v>
      </c>
      <c r="O465" s="587">
        <f t="shared" si="42"/>
        <v>0</v>
      </c>
      <c r="P465" s="587">
        <f t="shared" si="41"/>
        <v>0</v>
      </c>
    </row>
    <row r="466" spans="2:16">
      <c r="B466" s="587" t="s">
        <v>868</v>
      </c>
      <c r="C466" s="587" t="s">
        <v>875</v>
      </c>
      <c r="D466" s="587" t="s">
        <v>879</v>
      </c>
      <c r="E466" s="587"/>
      <c r="F466" s="587" t="str">
        <f t="shared" si="43"/>
        <v>Voiture (seul(e))</v>
      </c>
      <c r="G466" s="587">
        <f t="shared" si="44"/>
        <v>3</v>
      </c>
      <c r="H466" s="587"/>
      <c r="I466" s="587">
        <v>40</v>
      </c>
      <c r="J466" s="587">
        <f t="shared" si="45"/>
        <v>2.7600000000000002</v>
      </c>
      <c r="K466" s="587"/>
      <c r="L466" s="587"/>
      <c r="M466" s="587">
        <f t="shared" si="42"/>
        <v>0</v>
      </c>
      <c r="N466" s="587">
        <f t="shared" si="42"/>
        <v>3</v>
      </c>
      <c r="O466" s="587">
        <f t="shared" si="42"/>
        <v>0</v>
      </c>
      <c r="P466" s="587">
        <f t="shared" si="41"/>
        <v>0</v>
      </c>
    </row>
    <row r="467" spans="2:16">
      <c r="B467" s="587" t="s">
        <v>868</v>
      </c>
      <c r="C467" s="587" t="s">
        <v>882</v>
      </c>
      <c r="D467" s="587" t="s">
        <v>871</v>
      </c>
      <c r="E467" s="587"/>
      <c r="F467" s="587" t="str">
        <f t="shared" si="43"/>
        <v>Marche à pied (exclusivement sur tout le trajet)</v>
      </c>
      <c r="G467" s="587">
        <f t="shared" si="44"/>
        <v>7</v>
      </c>
      <c r="H467" s="587"/>
      <c r="I467" s="587">
        <v>20</v>
      </c>
      <c r="J467" s="587">
        <f t="shared" si="45"/>
        <v>0</v>
      </c>
      <c r="K467" s="587"/>
      <c r="L467" s="587"/>
      <c r="M467" s="587">
        <f t="shared" si="42"/>
        <v>0</v>
      </c>
      <c r="N467" s="587">
        <f t="shared" si="42"/>
        <v>0</v>
      </c>
      <c r="O467" s="587">
        <f t="shared" si="42"/>
        <v>7</v>
      </c>
      <c r="P467" s="587">
        <f t="shared" si="41"/>
        <v>0</v>
      </c>
    </row>
    <row r="468" spans="2:16">
      <c r="B468" s="587" t="s">
        <v>868</v>
      </c>
      <c r="C468" s="587" t="s">
        <v>875</v>
      </c>
      <c r="D468" s="587" t="s">
        <v>872</v>
      </c>
      <c r="E468" s="587"/>
      <c r="F468" s="587" t="str">
        <f t="shared" si="43"/>
        <v>Vélo personnel (y compris vélo à assistance électrique)</v>
      </c>
      <c r="G468" s="587">
        <f t="shared" si="44"/>
        <v>7</v>
      </c>
      <c r="H468" s="587"/>
      <c r="I468" s="587">
        <v>15</v>
      </c>
      <c r="J468" s="587">
        <f t="shared" si="45"/>
        <v>0</v>
      </c>
      <c r="K468" s="587"/>
      <c r="L468" s="587"/>
      <c r="M468" s="587">
        <f t="shared" si="42"/>
        <v>0</v>
      </c>
      <c r="N468" s="587">
        <f t="shared" si="42"/>
        <v>7</v>
      </c>
      <c r="O468" s="587">
        <f t="shared" si="42"/>
        <v>0</v>
      </c>
      <c r="P468" s="587">
        <f t="shared" si="41"/>
        <v>0</v>
      </c>
    </row>
    <row r="469" spans="2:16">
      <c r="B469" s="587" t="s">
        <v>868</v>
      </c>
      <c r="C469" s="587" t="s">
        <v>882</v>
      </c>
      <c r="D469" s="587" t="s">
        <v>879</v>
      </c>
      <c r="E469" s="587"/>
      <c r="F469" s="587" t="str">
        <f t="shared" si="43"/>
        <v>Voiture (seul(e))</v>
      </c>
      <c r="G469" s="587">
        <f t="shared" si="44"/>
        <v>3</v>
      </c>
      <c r="H469" s="587"/>
      <c r="I469" s="587">
        <v>25</v>
      </c>
      <c r="J469" s="587">
        <f t="shared" si="45"/>
        <v>2.7600000000000002</v>
      </c>
      <c r="K469" s="587"/>
      <c r="L469" s="587"/>
      <c r="M469" s="587">
        <f t="shared" si="42"/>
        <v>0</v>
      </c>
      <c r="N469" s="587">
        <f t="shared" si="42"/>
        <v>0</v>
      </c>
      <c r="O469" s="587">
        <f t="shared" si="42"/>
        <v>3</v>
      </c>
      <c r="P469" s="587">
        <f t="shared" si="41"/>
        <v>0</v>
      </c>
    </row>
    <row r="470" spans="2:16">
      <c r="B470" s="587" t="s">
        <v>868</v>
      </c>
      <c r="C470" s="587" t="s">
        <v>882</v>
      </c>
      <c r="D470" s="587"/>
      <c r="E470" s="587" t="s">
        <v>848</v>
      </c>
      <c r="F470" s="587" t="str">
        <f t="shared" si="43"/>
        <v>Bus</v>
      </c>
      <c r="G470" s="587">
        <f t="shared" si="44"/>
        <v>2</v>
      </c>
      <c r="H470" s="587"/>
      <c r="I470" s="587">
        <v>30</v>
      </c>
      <c r="J470" s="587">
        <f t="shared" si="45"/>
        <v>1.29</v>
      </c>
      <c r="K470" s="587"/>
      <c r="L470" s="587"/>
      <c r="M470" s="587">
        <f t="shared" si="42"/>
        <v>0</v>
      </c>
      <c r="N470" s="587">
        <f t="shared" si="42"/>
        <v>0</v>
      </c>
      <c r="O470" s="587">
        <f t="shared" si="42"/>
        <v>2</v>
      </c>
      <c r="P470" s="587">
        <f t="shared" si="41"/>
        <v>0</v>
      </c>
    </row>
    <row r="471" spans="2:16">
      <c r="B471" s="587" t="s">
        <v>868</v>
      </c>
      <c r="C471" s="587" t="s">
        <v>869</v>
      </c>
      <c r="D471" s="587" t="s">
        <v>877</v>
      </c>
      <c r="E471" s="587"/>
      <c r="F471" s="587" t="str">
        <f t="shared" si="43"/>
        <v>Vélo’v</v>
      </c>
      <c r="G471" s="587">
        <f t="shared" si="44"/>
        <v>7</v>
      </c>
      <c r="H471" s="587"/>
      <c r="I471" s="587">
        <v>7</v>
      </c>
      <c r="J471" s="587">
        <f t="shared" si="45"/>
        <v>0</v>
      </c>
      <c r="K471" s="587"/>
      <c r="L471" s="587"/>
      <c r="M471" s="587">
        <f t="shared" si="42"/>
        <v>7</v>
      </c>
      <c r="N471" s="587">
        <f t="shared" si="42"/>
        <v>0</v>
      </c>
      <c r="O471" s="587">
        <f t="shared" si="42"/>
        <v>0</v>
      </c>
      <c r="P471" s="587">
        <f t="shared" si="41"/>
        <v>0</v>
      </c>
    </row>
    <row r="472" spans="2:16">
      <c r="B472" s="587" t="s">
        <v>868</v>
      </c>
      <c r="C472" s="587" t="s">
        <v>869</v>
      </c>
      <c r="D472" s="587" t="s">
        <v>876</v>
      </c>
      <c r="E472" s="587"/>
      <c r="F472" s="587" t="str">
        <f t="shared" si="43"/>
        <v>Trottinette, roller, skateboard,...</v>
      </c>
      <c r="G472" s="587">
        <f t="shared" si="44"/>
        <v>7</v>
      </c>
      <c r="H472" s="587"/>
      <c r="I472" s="587">
        <v>10</v>
      </c>
      <c r="J472" s="587">
        <f t="shared" si="45"/>
        <v>0</v>
      </c>
      <c r="K472" s="587"/>
      <c r="L472" s="587"/>
      <c r="M472" s="587">
        <f t="shared" si="42"/>
        <v>7</v>
      </c>
      <c r="N472" s="587">
        <f t="shared" si="42"/>
        <v>0</v>
      </c>
      <c r="O472" s="587">
        <f t="shared" si="42"/>
        <v>0</v>
      </c>
      <c r="P472" s="587">
        <f t="shared" si="41"/>
        <v>0</v>
      </c>
    </row>
    <row r="473" spans="2:16">
      <c r="B473" s="587" t="s">
        <v>868</v>
      </c>
      <c r="C473" s="587" t="s">
        <v>875</v>
      </c>
      <c r="D473" s="587"/>
      <c r="E473" s="587" t="s">
        <v>885</v>
      </c>
      <c r="F473" s="587" t="str">
        <f t="shared" si="43"/>
        <v>Covoiturage (conducteur(trice))</v>
      </c>
      <c r="G473" s="587">
        <f t="shared" si="44"/>
        <v>4</v>
      </c>
      <c r="H473" s="587"/>
      <c r="I473" s="587">
        <v>30</v>
      </c>
      <c r="J473" s="587">
        <f t="shared" si="45"/>
        <v>0.69000000000000006</v>
      </c>
      <c r="K473" s="587"/>
      <c r="L473" s="587"/>
      <c r="M473" s="587">
        <f t="shared" si="42"/>
        <v>0</v>
      </c>
      <c r="N473" s="587">
        <f t="shared" si="42"/>
        <v>4</v>
      </c>
      <c r="O473" s="587">
        <f t="shared" si="42"/>
        <v>0</v>
      </c>
      <c r="P473" s="587">
        <f t="shared" si="41"/>
        <v>0</v>
      </c>
    </row>
    <row r="474" spans="2:16">
      <c r="B474" s="587" t="s">
        <v>868</v>
      </c>
      <c r="C474" s="587" t="s">
        <v>882</v>
      </c>
      <c r="D474" s="587" t="s">
        <v>848</v>
      </c>
      <c r="E474" s="587"/>
      <c r="F474" s="587" t="str">
        <f t="shared" si="43"/>
        <v>Bus</v>
      </c>
      <c r="G474" s="587">
        <f t="shared" si="44"/>
        <v>2</v>
      </c>
      <c r="H474" s="587"/>
      <c r="I474" s="587">
        <v>30</v>
      </c>
      <c r="J474" s="587">
        <f t="shared" si="45"/>
        <v>1.29</v>
      </c>
      <c r="K474" s="587"/>
      <c r="L474" s="587"/>
      <c r="M474" s="587">
        <f t="shared" ref="M474:P537" si="46">IF($C474=M$27,$G474,0)</f>
        <v>0</v>
      </c>
      <c r="N474" s="587">
        <f t="shared" si="46"/>
        <v>0</v>
      </c>
      <c r="O474" s="587">
        <f t="shared" si="46"/>
        <v>2</v>
      </c>
      <c r="P474" s="587">
        <f t="shared" si="41"/>
        <v>0</v>
      </c>
    </row>
    <row r="475" spans="2:16">
      <c r="B475" s="587" t="s">
        <v>868</v>
      </c>
      <c r="C475" s="587" t="s">
        <v>869</v>
      </c>
      <c r="D475" s="587" t="s">
        <v>876</v>
      </c>
      <c r="E475" s="587"/>
      <c r="F475" s="587" t="str">
        <f t="shared" si="43"/>
        <v>Trottinette, roller, skateboard,...</v>
      </c>
      <c r="G475" s="587">
        <f t="shared" si="44"/>
        <v>7</v>
      </c>
      <c r="H475" s="587"/>
      <c r="I475" s="587">
        <v>20</v>
      </c>
      <c r="J475" s="587">
        <f t="shared" si="45"/>
        <v>0</v>
      </c>
      <c r="K475" s="587"/>
      <c r="L475" s="587"/>
      <c r="M475" s="587">
        <f t="shared" si="46"/>
        <v>7</v>
      </c>
      <c r="N475" s="587">
        <f t="shared" si="46"/>
        <v>0</v>
      </c>
      <c r="O475" s="587">
        <f t="shared" si="46"/>
        <v>0</v>
      </c>
      <c r="P475" s="587">
        <f t="shared" si="41"/>
        <v>0</v>
      </c>
    </row>
    <row r="476" spans="2:16">
      <c r="B476" s="587" t="s">
        <v>868</v>
      </c>
      <c r="C476" s="587" t="s">
        <v>869</v>
      </c>
      <c r="D476" s="587" t="s">
        <v>871</v>
      </c>
      <c r="E476" s="587"/>
      <c r="F476" s="587" t="str">
        <f t="shared" si="43"/>
        <v>Marche à pied (exclusivement sur tout le trajet)</v>
      </c>
      <c r="G476" s="587">
        <f t="shared" si="44"/>
        <v>7</v>
      </c>
      <c r="H476" s="587"/>
      <c r="I476" s="587">
        <v>20</v>
      </c>
      <c r="J476" s="587">
        <f t="shared" si="45"/>
        <v>0</v>
      </c>
      <c r="K476" s="587"/>
      <c r="L476" s="587"/>
      <c r="M476" s="587">
        <f t="shared" si="46"/>
        <v>7</v>
      </c>
      <c r="N476" s="587">
        <f t="shared" si="46"/>
        <v>0</v>
      </c>
      <c r="O476" s="587">
        <f t="shared" si="46"/>
        <v>0</v>
      </c>
      <c r="P476" s="587">
        <f t="shared" si="41"/>
        <v>0</v>
      </c>
    </row>
    <row r="477" spans="2:16">
      <c r="B477" s="587" t="s">
        <v>868</v>
      </c>
      <c r="C477" s="587" t="s">
        <v>875</v>
      </c>
      <c r="D477" s="587" t="s">
        <v>885</v>
      </c>
      <c r="E477" s="587"/>
      <c r="F477" s="587" t="str">
        <f t="shared" si="43"/>
        <v>Covoiturage (conducteur(trice))</v>
      </c>
      <c r="G477" s="587">
        <f t="shared" si="44"/>
        <v>4</v>
      </c>
      <c r="H477" s="587"/>
      <c r="I477" s="587">
        <v>30</v>
      </c>
      <c r="J477" s="587">
        <f t="shared" si="45"/>
        <v>0.69000000000000006</v>
      </c>
      <c r="K477" s="587"/>
      <c r="L477" s="587"/>
      <c r="M477" s="587">
        <f t="shared" si="46"/>
        <v>0</v>
      </c>
      <c r="N477" s="587">
        <f t="shared" si="46"/>
        <v>4</v>
      </c>
      <c r="O477" s="587">
        <f t="shared" si="46"/>
        <v>0</v>
      </c>
      <c r="P477" s="587">
        <f t="shared" si="46"/>
        <v>0</v>
      </c>
    </row>
    <row r="478" spans="2:16">
      <c r="B478" s="587" t="s">
        <v>868</v>
      </c>
      <c r="C478" s="587" t="s">
        <v>869</v>
      </c>
      <c r="D478" s="587" t="s">
        <v>872</v>
      </c>
      <c r="E478" s="587"/>
      <c r="F478" s="587" t="str">
        <f t="shared" si="43"/>
        <v>Vélo personnel (y compris vélo à assistance électrique)</v>
      </c>
      <c r="G478" s="587">
        <f t="shared" si="44"/>
        <v>7</v>
      </c>
      <c r="H478" s="587"/>
      <c r="I478" s="587">
        <v>20</v>
      </c>
      <c r="J478" s="587">
        <f t="shared" si="45"/>
        <v>0</v>
      </c>
      <c r="K478" s="587"/>
      <c r="L478" s="587"/>
      <c r="M478" s="587">
        <f t="shared" si="46"/>
        <v>7</v>
      </c>
      <c r="N478" s="587">
        <f t="shared" si="46"/>
        <v>0</v>
      </c>
      <c r="O478" s="587">
        <f t="shared" si="46"/>
        <v>0</v>
      </c>
      <c r="P478" s="587">
        <f t="shared" si="46"/>
        <v>0</v>
      </c>
    </row>
    <row r="479" spans="2:16">
      <c r="B479" s="587" t="s">
        <v>868</v>
      </c>
      <c r="C479" s="587" t="s">
        <v>869</v>
      </c>
      <c r="D479" s="587"/>
      <c r="E479" s="587" t="s">
        <v>886</v>
      </c>
      <c r="F479" s="587" t="str">
        <f t="shared" si="43"/>
        <v>Train (TER,..)</v>
      </c>
      <c r="G479" s="587">
        <f t="shared" si="44"/>
        <v>6</v>
      </c>
      <c r="H479" s="587"/>
      <c r="I479" s="587">
        <v>40</v>
      </c>
      <c r="J479" s="587">
        <f t="shared" si="45"/>
        <v>0.34600000000000003</v>
      </c>
      <c r="K479" s="587"/>
      <c r="L479" s="587"/>
      <c r="M479" s="587">
        <f t="shared" si="46"/>
        <v>6</v>
      </c>
      <c r="N479" s="587">
        <f t="shared" si="46"/>
        <v>0</v>
      </c>
      <c r="O479" s="587">
        <f t="shared" si="46"/>
        <v>0</v>
      </c>
      <c r="P479" s="587">
        <f t="shared" si="46"/>
        <v>0</v>
      </c>
    </row>
    <row r="480" spans="2:16">
      <c r="B480" s="587" t="s">
        <v>868</v>
      </c>
      <c r="C480" s="587" t="s">
        <v>869</v>
      </c>
      <c r="D480" s="587"/>
      <c r="E480" s="587" t="s">
        <v>848</v>
      </c>
      <c r="F480" s="587" t="str">
        <f t="shared" si="43"/>
        <v>Bus</v>
      </c>
      <c r="G480" s="587">
        <f t="shared" si="44"/>
        <v>2</v>
      </c>
      <c r="H480" s="587"/>
      <c r="I480" s="587">
        <v>27</v>
      </c>
      <c r="J480" s="587">
        <f t="shared" si="45"/>
        <v>1.29</v>
      </c>
      <c r="K480" s="587"/>
      <c r="L480" s="587"/>
      <c r="M480" s="587">
        <f t="shared" si="46"/>
        <v>2</v>
      </c>
      <c r="N480" s="587">
        <f t="shared" si="46"/>
        <v>0</v>
      </c>
      <c r="O480" s="587">
        <f t="shared" si="46"/>
        <v>0</v>
      </c>
      <c r="P480" s="587">
        <f t="shared" si="46"/>
        <v>0</v>
      </c>
    </row>
    <row r="481" spans="2:16">
      <c r="B481" s="587" t="s">
        <v>868</v>
      </c>
      <c r="C481" s="587" t="s">
        <v>875</v>
      </c>
      <c r="D481" s="587" t="s">
        <v>884</v>
      </c>
      <c r="E481" s="587"/>
      <c r="F481" s="587" t="str">
        <f t="shared" si="43"/>
        <v>Deux roues motorisées (moto, scooter, mobylette,…)</v>
      </c>
      <c r="G481" s="587">
        <f t="shared" si="44"/>
        <v>5</v>
      </c>
      <c r="H481" s="587"/>
      <c r="I481" s="587">
        <v>35</v>
      </c>
      <c r="J481" s="587">
        <f t="shared" si="45"/>
        <v>1.288</v>
      </c>
      <c r="K481" s="587"/>
      <c r="L481" s="587"/>
      <c r="M481" s="587">
        <f t="shared" si="46"/>
        <v>0</v>
      </c>
      <c r="N481" s="587">
        <f t="shared" si="46"/>
        <v>5</v>
      </c>
      <c r="O481" s="587">
        <f t="shared" si="46"/>
        <v>0</v>
      </c>
      <c r="P481" s="587">
        <f t="shared" si="46"/>
        <v>0</v>
      </c>
    </row>
    <row r="482" spans="2:16">
      <c r="B482" s="587" t="s">
        <v>868</v>
      </c>
      <c r="C482" s="587" t="s">
        <v>882</v>
      </c>
      <c r="D482" s="587"/>
      <c r="E482" s="587" t="s">
        <v>848</v>
      </c>
      <c r="F482" s="587" t="str">
        <f t="shared" si="43"/>
        <v>Bus</v>
      </c>
      <c r="G482" s="587">
        <f t="shared" si="44"/>
        <v>2</v>
      </c>
      <c r="H482" s="587"/>
      <c r="I482" s="587">
        <v>20</v>
      </c>
      <c r="J482" s="587">
        <f t="shared" si="45"/>
        <v>1.29</v>
      </c>
      <c r="K482" s="587"/>
      <c r="L482" s="587"/>
      <c r="M482" s="587">
        <f t="shared" si="46"/>
        <v>0</v>
      </c>
      <c r="N482" s="587">
        <f t="shared" si="46"/>
        <v>0</v>
      </c>
      <c r="O482" s="587">
        <f t="shared" si="46"/>
        <v>2</v>
      </c>
      <c r="P482" s="587">
        <f t="shared" si="46"/>
        <v>0</v>
      </c>
    </row>
    <row r="483" spans="2:16">
      <c r="B483" s="587" t="s">
        <v>868</v>
      </c>
      <c r="C483" s="587" t="s">
        <v>869</v>
      </c>
      <c r="D483" s="587" t="s">
        <v>871</v>
      </c>
      <c r="E483" s="587"/>
      <c r="F483" s="587" t="str">
        <f t="shared" si="43"/>
        <v>Marche à pied (exclusivement sur tout le trajet)</v>
      </c>
      <c r="G483" s="587">
        <f t="shared" si="44"/>
        <v>7</v>
      </c>
      <c r="H483" s="587"/>
      <c r="I483" s="587">
        <v>7</v>
      </c>
      <c r="J483" s="587">
        <f t="shared" si="45"/>
        <v>0</v>
      </c>
      <c r="K483" s="587"/>
      <c r="L483" s="587"/>
      <c r="M483" s="587">
        <f t="shared" si="46"/>
        <v>7</v>
      </c>
      <c r="N483" s="587">
        <f t="shared" si="46"/>
        <v>0</v>
      </c>
      <c r="O483" s="587">
        <f t="shared" si="46"/>
        <v>0</v>
      </c>
      <c r="P483" s="587">
        <f t="shared" si="46"/>
        <v>0</v>
      </c>
    </row>
    <row r="484" spans="2:16">
      <c r="B484" s="587" t="s">
        <v>868</v>
      </c>
      <c r="C484" s="587" t="s">
        <v>869</v>
      </c>
      <c r="D484" s="587" t="s">
        <v>871</v>
      </c>
      <c r="E484" s="587"/>
      <c r="F484" s="587" t="str">
        <f t="shared" si="43"/>
        <v>Marche à pied (exclusivement sur tout le trajet)</v>
      </c>
      <c r="G484" s="587">
        <f t="shared" si="44"/>
        <v>7</v>
      </c>
      <c r="H484" s="587"/>
      <c r="I484" s="587">
        <v>5</v>
      </c>
      <c r="J484" s="587">
        <f t="shared" si="45"/>
        <v>0</v>
      </c>
      <c r="K484" s="587"/>
      <c r="L484" s="587"/>
      <c r="M484" s="587">
        <f t="shared" si="46"/>
        <v>7</v>
      </c>
      <c r="N484" s="587">
        <f t="shared" si="46"/>
        <v>0</v>
      </c>
      <c r="O484" s="587">
        <f t="shared" si="46"/>
        <v>0</v>
      </c>
      <c r="P484" s="587">
        <f t="shared" si="46"/>
        <v>0</v>
      </c>
    </row>
    <row r="485" spans="2:16">
      <c r="B485" s="587" t="s">
        <v>868</v>
      </c>
      <c r="C485" s="587" t="s">
        <v>869</v>
      </c>
      <c r="D485" s="587" t="s">
        <v>871</v>
      </c>
      <c r="E485" s="587"/>
      <c r="F485" s="587" t="str">
        <f t="shared" si="43"/>
        <v>Marche à pied (exclusivement sur tout le trajet)</v>
      </c>
      <c r="G485" s="587">
        <f t="shared" si="44"/>
        <v>7</v>
      </c>
      <c r="H485" s="587"/>
      <c r="I485" s="587">
        <v>3</v>
      </c>
      <c r="J485" s="587">
        <f t="shared" si="45"/>
        <v>0</v>
      </c>
      <c r="K485" s="587"/>
      <c r="L485" s="587"/>
      <c r="M485" s="587">
        <f t="shared" si="46"/>
        <v>7</v>
      </c>
      <c r="N485" s="587">
        <f t="shared" si="46"/>
        <v>0</v>
      </c>
      <c r="O485" s="587">
        <f t="shared" si="46"/>
        <v>0</v>
      </c>
      <c r="P485" s="587">
        <f t="shared" si="46"/>
        <v>0</v>
      </c>
    </row>
    <row r="486" spans="2:16">
      <c r="B486" s="587" t="s">
        <v>868</v>
      </c>
      <c r="C486" s="587" t="s">
        <v>869</v>
      </c>
      <c r="D486" s="587" t="s">
        <v>873</v>
      </c>
      <c r="E486" s="587"/>
      <c r="F486" s="587" t="str">
        <f t="shared" si="43"/>
        <v>Tramway</v>
      </c>
      <c r="G486" s="587">
        <f t="shared" si="44"/>
        <v>1</v>
      </c>
      <c r="H486" s="587"/>
      <c r="I486" s="587">
        <v>12</v>
      </c>
      <c r="J486" s="587">
        <f t="shared" si="45"/>
        <v>4.8833333333333326E-2</v>
      </c>
      <c r="K486" s="587"/>
      <c r="L486" s="587"/>
      <c r="M486" s="587">
        <f t="shared" si="46"/>
        <v>1</v>
      </c>
      <c r="N486" s="587">
        <f t="shared" si="46"/>
        <v>0</v>
      </c>
      <c r="O486" s="587">
        <f t="shared" si="46"/>
        <v>0</v>
      </c>
      <c r="P486" s="587">
        <f t="shared" si="46"/>
        <v>0</v>
      </c>
    </row>
    <row r="487" spans="2:16">
      <c r="B487" s="587" t="s">
        <v>868</v>
      </c>
      <c r="C487" s="587" t="s">
        <v>882</v>
      </c>
      <c r="D487" s="587" t="s">
        <v>879</v>
      </c>
      <c r="E487" s="587"/>
      <c r="F487" s="587" t="str">
        <f t="shared" si="43"/>
        <v>Voiture (seul(e))</v>
      </c>
      <c r="G487" s="587">
        <f t="shared" si="44"/>
        <v>3</v>
      </c>
      <c r="H487" s="587"/>
      <c r="I487" s="587">
        <v>35</v>
      </c>
      <c r="J487" s="587">
        <f t="shared" si="45"/>
        <v>2.7600000000000002</v>
      </c>
      <c r="K487" s="587"/>
      <c r="L487" s="587"/>
      <c r="M487" s="587">
        <f t="shared" si="46"/>
        <v>0</v>
      </c>
      <c r="N487" s="587">
        <f t="shared" si="46"/>
        <v>0</v>
      </c>
      <c r="O487" s="587">
        <f t="shared" si="46"/>
        <v>3</v>
      </c>
      <c r="P487" s="587">
        <f t="shared" si="46"/>
        <v>0</v>
      </c>
    </row>
    <row r="488" spans="2:16">
      <c r="B488" s="587" t="s">
        <v>868</v>
      </c>
      <c r="C488" s="587" t="s">
        <v>882</v>
      </c>
      <c r="D488" s="587" t="s">
        <v>879</v>
      </c>
      <c r="E488" s="587"/>
      <c r="F488" s="587" t="str">
        <f t="shared" si="43"/>
        <v>Voiture (seul(e))</v>
      </c>
      <c r="G488" s="587">
        <f t="shared" si="44"/>
        <v>3</v>
      </c>
      <c r="H488" s="587"/>
      <c r="I488" s="587">
        <v>25</v>
      </c>
      <c r="J488" s="587">
        <f t="shared" si="45"/>
        <v>2.7600000000000002</v>
      </c>
      <c r="K488" s="587"/>
      <c r="L488" s="587"/>
      <c r="M488" s="587">
        <f t="shared" si="46"/>
        <v>0</v>
      </c>
      <c r="N488" s="587">
        <f t="shared" si="46"/>
        <v>0</v>
      </c>
      <c r="O488" s="587">
        <f t="shared" si="46"/>
        <v>3</v>
      </c>
      <c r="P488" s="587">
        <f t="shared" si="46"/>
        <v>0</v>
      </c>
    </row>
    <row r="489" spans="2:16">
      <c r="B489" s="587" t="s">
        <v>868</v>
      </c>
      <c r="C489" s="587" t="s">
        <v>869</v>
      </c>
      <c r="D489" s="587" t="s">
        <v>872</v>
      </c>
      <c r="E489" s="587"/>
      <c r="F489" s="587" t="str">
        <f t="shared" si="43"/>
        <v>Vélo personnel (y compris vélo à assistance électrique)</v>
      </c>
      <c r="G489" s="587">
        <f t="shared" si="44"/>
        <v>7</v>
      </c>
      <c r="H489" s="587"/>
      <c r="I489" s="587">
        <v>7</v>
      </c>
      <c r="J489" s="587">
        <f t="shared" si="45"/>
        <v>0</v>
      </c>
      <c r="K489" s="587"/>
      <c r="L489" s="587"/>
      <c r="M489" s="587">
        <f t="shared" si="46"/>
        <v>7</v>
      </c>
      <c r="N489" s="587">
        <f t="shared" si="46"/>
        <v>0</v>
      </c>
      <c r="O489" s="587">
        <f t="shared" si="46"/>
        <v>0</v>
      </c>
      <c r="P489" s="587">
        <f t="shared" si="46"/>
        <v>0</v>
      </c>
    </row>
    <row r="490" spans="2:16">
      <c r="B490" s="587" t="s">
        <v>868</v>
      </c>
      <c r="C490" s="587" t="s">
        <v>882</v>
      </c>
      <c r="D490" s="587" t="s">
        <v>879</v>
      </c>
      <c r="E490" s="587"/>
      <c r="F490" s="587" t="str">
        <f t="shared" si="43"/>
        <v>Voiture (seul(e))</v>
      </c>
      <c r="G490" s="587">
        <f t="shared" si="44"/>
        <v>3</v>
      </c>
      <c r="H490" s="587"/>
      <c r="I490" s="587">
        <v>30</v>
      </c>
      <c r="J490" s="587">
        <f t="shared" si="45"/>
        <v>2.7600000000000002</v>
      </c>
      <c r="K490" s="587"/>
      <c r="L490" s="587"/>
      <c r="M490" s="587">
        <f t="shared" si="46"/>
        <v>0</v>
      </c>
      <c r="N490" s="587">
        <f t="shared" si="46"/>
        <v>0</v>
      </c>
      <c r="O490" s="587">
        <f t="shared" si="46"/>
        <v>3</v>
      </c>
      <c r="P490" s="587">
        <f t="shared" si="46"/>
        <v>0</v>
      </c>
    </row>
    <row r="491" spans="2:16">
      <c r="B491" s="587" t="s">
        <v>868</v>
      </c>
      <c r="C491" s="587" t="s">
        <v>875</v>
      </c>
      <c r="D491" s="587" t="s">
        <v>848</v>
      </c>
      <c r="E491" s="587"/>
      <c r="F491" s="587" t="str">
        <f t="shared" si="43"/>
        <v>Bus</v>
      </c>
      <c r="G491" s="587">
        <f t="shared" si="44"/>
        <v>2</v>
      </c>
      <c r="H491" s="587"/>
      <c r="I491" s="587">
        <v>25</v>
      </c>
      <c r="J491" s="587">
        <f t="shared" si="45"/>
        <v>1.29</v>
      </c>
      <c r="K491" s="587"/>
      <c r="L491" s="587"/>
      <c r="M491" s="587">
        <f t="shared" si="46"/>
        <v>0</v>
      </c>
      <c r="N491" s="587">
        <f t="shared" si="46"/>
        <v>2</v>
      </c>
      <c r="O491" s="587">
        <f t="shared" si="46"/>
        <v>0</v>
      </c>
      <c r="P491" s="587">
        <f t="shared" si="46"/>
        <v>0</v>
      </c>
    </row>
    <row r="492" spans="2:16">
      <c r="B492" s="587" t="s">
        <v>868</v>
      </c>
      <c r="C492" s="587" t="s">
        <v>869</v>
      </c>
      <c r="D492" s="587" t="s">
        <v>871</v>
      </c>
      <c r="E492" s="587"/>
      <c r="F492" s="587" t="str">
        <f t="shared" si="43"/>
        <v>Marche à pied (exclusivement sur tout le trajet)</v>
      </c>
      <c r="G492" s="587">
        <f t="shared" si="44"/>
        <v>7</v>
      </c>
      <c r="H492" s="587"/>
      <c r="I492" s="587">
        <v>15</v>
      </c>
      <c r="J492" s="587">
        <f t="shared" si="45"/>
        <v>0</v>
      </c>
      <c r="K492" s="587"/>
      <c r="L492" s="587"/>
      <c r="M492" s="587">
        <f t="shared" si="46"/>
        <v>7</v>
      </c>
      <c r="N492" s="587">
        <f t="shared" si="46"/>
        <v>0</v>
      </c>
      <c r="O492" s="587">
        <f t="shared" si="46"/>
        <v>0</v>
      </c>
      <c r="P492" s="587">
        <f t="shared" si="46"/>
        <v>0</v>
      </c>
    </row>
    <row r="493" spans="2:16">
      <c r="B493" s="587" t="s">
        <v>868</v>
      </c>
      <c r="C493" s="587" t="s">
        <v>875</v>
      </c>
      <c r="D493" s="587" t="s">
        <v>872</v>
      </c>
      <c r="E493" s="587"/>
      <c r="F493" s="587" t="str">
        <f t="shared" si="43"/>
        <v>Vélo personnel (y compris vélo à assistance électrique)</v>
      </c>
      <c r="G493" s="587">
        <f t="shared" si="44"/>
        <v>7</v>
      </c>
      <c r="H493" s="587"/>
      <c r="I493" s="587">
        <v>25</v>
      </c>
      <c r="J493" s="587">
        <f t="shared" si="45"/>
        <v>0</v>
      </c>
      <c r="K493" s="587"/>
      <c r="L493" s="587"/>
      <c r="M493" s="587">
        <f t="shared" si="46"/>
        <v>0</v>
      </c>
      <c r="N493" s="587">
        <f t="shared" si="46"/>
        <v>7</v>
      </c>
      <c r="O493" s="587">
        <f t="shared" si="46"/>
        <v>0</v>
      </c>
      <c r="P493" s="587">
        <f t="shared" si="46"/>
        <v>0</v>
      </c>
    </row>
    <row r="494" spans="2:16">
      <c r="B494" s="587" t="s">
        <v>868</v>
      </c>
      <c r="C494" s="587" t="s">
        <v>869</v>
      </c>
      <c r="D494" s="587" t="s">
        <v>871</v>
      </c>
      <c r="E494" s="587"/>
      <c r="F494" s="587" t="str">
        <f t="shared" si="43"/>
        <v>Marche à pied (exclusivement sur tout le trajet)</v>
      </c>
      <c r="G494" s="587">
        <f t="shared" si="44"/>
        <v>7</v>
      </c>
      <c r="H494" s="587"/>
      <c r="I494" s="587">
        <v>5</v>
      </c>
      <c r="J494" s="587">
        <f t="shared" si="45"/>
        <v>0</v>
      </c>
      <c r="K494" s="587"/>
      <c r="L494" s="587"/>
      <c r="M494" s="587">
        <f t="shared" si="46"/>
        <v>7</v>
      </c>
      <c r="N494" s="587">
        <f t="shared" si="46"/>
        <v>0</v>
      </c>
      <c r="O494" s="587">
        <f t="shared" si="46"/>
        <v>0</v>
      </c>
      <c r="P494" s="587">
        <f t="shared" si="46"/>
        <v>0</v>
      </c>
    </row>
    <row r="495" spans="2:16">
      <c r="B495" s="587" t="s">
        <v>868</v>
      </c>
      <c r="C495" s="587" t="s">
        <v>882</v>
      </c>
      <c r="D495" s="587" t="s">
        <v>872</v>
      </c>
      <c r="E495" s="587"/>
      <c r="F495" s="587" t="str">
        <f t="shared" si="43"/>
        <v>Vélo personnel (y compris vélo à assistance électrique)</v>
      </c>
      <c r="G495" s="587">
        <f t="shared" si="44"/>
        <v>7</v>
      </c>
      <c r="H495" s="587"/>
      <c r="I495" s="587">
        <v>15</v>
      </c>
      <c r="J495" s="587">
        <f t="shared" si="45"/>
        <v>0</v>
      </c>
      <c r="K495" s="587"/>
      <c r="L495" s="587"/>
      <c r="M495" s="587">
        <f t="shared" si="46"/>
        <v>0</v>
      </c>
      <c r="N495" s="587">
        <f t="shared" si="46"/>
        <v>0</v>
      </c>
      <c r="O495" s="587">
        <f t="shared" si="46"/>
        <v>7</v>
      </c>
      <c r="P495" s="587">
        <f t="shared" si="46"/>
        <v>0</v>
      </c>
    </row>
    <row r="496" spans="2:16">
      <c r="B496" s="587" t="s">
        <v>868</v>
      </c>
      <c r="C496" s="587" t="s">
        <v>869</v>
      </c>
      <c r="D496" s="587" t="s">
        <v>872</v>
      </c>
      <c r="E496" s="587"/>
      <c r="F496" s="587" t="str">
        <f t="shared" ref="F496:F559" si="47">IF(D496="",E496,D496)</f>
        <v>Vélo personnel (y compris vélo à assistance électrique)</v>
      </c>
      <c r="G496" s="587">
        <f t="shared" ref="G496:G559" si="48">IF(F496="Métro",1,IF(F496="Tramway",1,IF(F496="Vélo'v",7,IF(F496="Marche à pied (exclusivement sur tout le trajet)",7,IF(F496="Vélo personnel (y compris vélo à assistance électrique)",7,IF(F496="Trottinette, roller, skateboard,…",7,IF(F496="Marche à pied au-delà de 5 minutes",7,IF(F496="Voiture (seul(e))",3,IF(F496="Bus",2,IF(F496="Trottinette, roller, skateboard au-delà de 5 minutes",7,IF(F496="Covoiturage (passager(ère))",4,IF(F496="Trottinette, roller, skateboard,...",7,IF(F496="Vélo’v",7,IF(F496="Train (TER,TGV,...)",6,IF(F496="Deux roues motorisées (moto, scooter, mobylette,…)",5,IF(F496="Covoiturage (conducteur(trice))",4,IF(F496="Train (TER,..)",6,0)))))))))))))))))</f>
        <v>7</v>
      </c>
      <c r="H496" s="587"/>
      <c r="I496" s="587">
        <v>10</v>
      </c>
      <c r="J496" s="587">
        <f t="shared" ref="J496:J559" si="49">IF(G496=1,$C$6*($I$28*$K$6)/$J$6,IF(G496=2,$C$7*($I$28*$K$7)/$J$7,IF(G496=3,$C$8*$I$28*$K$8/$J$8,IF(G496=4,$C$9*$I$28*$K$9/$J$9,IF(G496=5,$C$10*$I$28*$K$10/$J$10,IF(G496=6,$C$11*$K$11*$I$28/$J$11,0))))))</f>
        <v>0</v>
      </c>
      <c r="K496" s="587"/>
      <c r="L496" s="587"/>
      <c r="M496" s="587">
        <f t="shared" si="46"/>
        <v>7</v>
      </c>
      <c r="N496" s="587">
        <f t="shared" si="46"/>
        <v>0</v>
      </c>
      <c r="O496" s="587">
        <f t="shared" si="46"/>
        <v>0</v>
      </c>
      <c r="P496" s="587">
        <f t="shared" si="46"/>
        <v>0</v>
      </c>
    </row>
    <row r="497" spans="2:16">
      <c r="B497" s="587" t="s">
        <v>868</v>
      </c>
      <c r="C497" s="587" t="s">
        <v>882</v>
      </c>
      <c r="D497" s="587"/>
      <c r="E497" s="587" t="s">
        <v>848</v>
      </c>
      <c r="F497" s="587" t="str">
        <f t="shared" si="47"/>
        <v>Bus</v>
      </c>
      <c r="G497" s="587">
        <f t="shared" si="48"/>
        <v>2</v>
      </c>
      <c r="H497" s="587"/>
      <c r="I497" s="587">
        <v>40</v>
      </c>
      <c r="J497" s="587">
        <f t="shared" si="49"/>
        <v>1.29</v>
      </c>
      <c r="K497" s="587"/>
      <c r="L497" s="587"/>
      <c r="M497" s="587">
        <f t="shared" si="46"/>
        <v>0</v>
      </c>
      <c r="N497" s="587">
        <f t="shared" si="46"/>
        <v>0</v>
      </c>
      <c r="O497" s="587">
        <f t="shared" si="46"/>
        <v>2</v>
      </c>
      <c r="P497" s="587">
        <f t="shared" si="46"/>
        <v>0</v>
      </c>
    </row>
    <row r="498" spans="2:16">
      <c r="B498" s="587" t="s">
        <v>868</v>
      </c>
      <c r="C498" s="587" t="s">
        <v>869</v>
      </c>
      <c r="D498" s="587" t="s">
        <v>871</v>
      </c>
      <c r="E498" s="587"/>
      <c r="F498" s="587" t="str">
        <f t="shared" si="47"/>
        <v>Marche à pied (exclusivement sur tout le trajet)</v>
      </c>
      <c r="G498" s="587">
        <f t="shared" si="48"/>
        <v>7</v>
      </c>
      <c r="H498" s="587"/>
      <c r="I498" s="587">
        <v>7</v>
      </c>
      <c r="J498" s="587">
        <f t="shared" si="49"/>
        <v>0</v>
      </c>
      <c r="K498" s="587"/>
      <c r="L498" s="587"/>
      <c r="M498" s="587">
        <f t="shared" si="46"/>
        <v>7</v>
      </c>
      <c r="N498" s="587">
        <f t="shared" si="46"/>
        <v>0</v>
      </c>
      <c r="O498" s="587">
        <f t="shared" si="46"/>
        <v>0</v>
      </c>
      <c r="P498" s="587">
        <f t="shared" si="46"/>
        <v>0</v>
      </c>
    </row>
    <row r="499" spans="2:16">
      <c r="B499" s="587" t="s">
        <v>868</v>
      </c>
      <c r="C499" s="587" t="s">
        <v>869</v>
      </c>
      <c r="D499" s="587" t="s">
        <v>872</v>
      </c>
      <c r="E499" s="587"/>
      <c r="F499" s="587" t="str">
        <f t="shared" si="47"/>
        <v>Vélo personnel (y compris vélo à assistance électrique)</v>
      </c>
      <c r="G499" s="587">
        <f t="shared" si="48"/>
        <v>7</v>
      </c>
      <c r="H499" s="587"/>
      <c r="I499" s="587">
        <v>12</v>
      </c>
      <c r="J499" s="587">
        <f t="shared" si="49"/>
        <v>0</v>
      </c>
      <c r="K499" s="587"/>
      <c r="L499" s="587"/>
      <c r="M499" s="587">
        <f t="shared" si="46"/>
        <v>7</v>
      </c>
      <c r="N499" s="587">
        <f t="shared" si="46"/>
        <v>0</v>
      </c>
      <c r="O499" s="587">
        <f t="shared" si="46"/>
        <v>0</v>
      </c>
      <c r="P499" s="587">
        <f t="shared" si="46"/>
        <v>0</v>
      </c>
    </row>
    <row r="500" spans="2:16">
      <c r="B500" s="587" t="s">
        <v>868</v>
      </c>
      <c r="C500" s="587" t="s">
        <v>869</v>
      </c>
      <c r="D500" s="587" t="s">
        <v>871</v>
      </c>
      <c r="E500" s="587"/>
      <c r="F500" s="587" t="str">
        <f t="shared" si="47"/>
        <v>Marche à pied (exclusivement sur tout le trajet)</v>
      </c>
      <c r="G500" s="587">
        <f t="shared" si="48"/>
        <v>7</v>
      </c>
      <c r="H500" s="587"/>
      <c r="I500" s="587">
        <v>3</v>
      </c>
      <c r="J500" s="587">
        <f t="shared" si="49"/>
        <v>0</v>
      </c>
      <c r="K500" s="587"/>
      <c r="L500" s="587"/>
      <c r="M500" s="587">
        <f t="shared" si="46"/>
        <v>7</v>
      </c>
      <c r="N500" s="587">
        <f t="shared" si="46"/>
        <v>0</v>
      </c>
      <c r="O500" s="587">
        <f t="shared" si="46"/>
        <v>0</v>
      </c>
      <c r="P500" s="587">
        <f t="shared" si="46"/>
        <v>0</v>
      </c>
    </row>
    <row r="501" spans="2:16">
      <c r="B501" s="587" t="s">
        <v>868</v>
      </c>
      <c r="C501" s="587" t="s">
        <v>869</v>
      </c>
      <c r="D501" s="587"/>
      <c r="E501" s="587" t="s">
        <v>878</v>
      </c>
      <c r="F501" s="587" t="str">
        <f t="shared" si="47"/>
        <v>Marche à pied au-delà de 5 minutes</v>
      </c>
      <c r="G501" s="587">
        <f t="shared" si="48"/>
        <v>7</v>
      </c>
      <c r="H501" s="587"/>
      <c r="I501" s="587">
        <v>15</v>
      </c>
      <c r="J501" s="587">
        <f t="shared" si="49"/>
        <v>0</v>
      </c>
      <c r="K501" s="587"/>
      <c r="L501" s="587"/>
      <c r="M501" s="587">
        <f t="shared" si="46"/>
        <v>7</v>
      </c>
      <c r="N501" s="587">
        <f t="shared" si="46"/>
        <v>0</v>
      </c>
      <c r="O501" s="587">
        <f t="shared" si="46"/>
        <v>0</v>
      </c>
      <c r="P501" s="587">
        <f t="shared" si="46"/>
        <v>0</v>
      </c>
    </row>
    <row r="502" spans="2:16">
      <c r="B502" s="587" t="s">
        <v>868</v>
      </c>
      <c r="C502" s="587" t="s">
        <v>882</v>
      </c>
      <c r="D502" s="587"/>
      <c r="E502" s="587" t="s">
        <v>870</v>
      </c>
      <c r="F502" s="587" t="str">
        <f t="shared" si="47"/>
        <v>Métro</v>
      </c>
      <c r="G502" s="587">
        <f t="shared" si="48"/>
        <v>1</v>
      </c>
      <c r="H502" s="587"/>
      <c r="I502" s="587">
        <v>30</v>
      </c>
      <c r="J502" s="587">
        <f t="shared" si="49"/>
        <v>4.8833333333333326E-2</v>
      </c>
      <c r="K502" s="587"/>
      <c r="L502" s="587"/>
      <c r="M502" s="587">
        <f t="shared" si="46"/>
        <v>0</v>
      </c>
      <c r="N502" s="587">
        <f t="shared" si="46"/>
        <v>0</v>
      </c>
      <c r="O502" s="587">
        <f t="shared" si="46"/>
        <v>1</v>
      </c>
      <c r="P502" s="587">
        <f t="shared" si="46"/>
        <v>0</v>
      </c>
    </row>
    <row r="503" spans="2:16">
      <c r="B503" s="587" t="s">
        <v>868</v>
      </c>
      <c r="C503" s="587" t="s">
        <v>869</v>
      </c>
      <c r="D503" s="587" t="s">
        <v>876</v>
      </c>
      <c r="E503" s="587"/>
      <c r="F503" s="587" t="str">
        <f t="shared" si="47"/>
        <v>Trottinette, roller, skateboard,...</v>
      </c>
      <c r="G503" s="587">
        <f t="shared" si="48"/>
        <v>7</v>
      </c>
      <c r="H503" s="587"/>
      <c r="I503" s="587">
        <v>6</v>
      </c>
      <c r="J503" s="587">
        <f t="shared" si="49"/>
        <v>0</v>
      </c>
      <c r="K503" s="587"/>
      <c r="L503" s="587"/>
      <c r="M503" s="587">
        <f t="shared" si="46"/>
        <v>7</v>
      </c>
      <c r="N503" s="587">
        <f t="shared" si="46"/>
        <v>0</v>
      </c>
      <c r="O503" s="587">
        <f t="shared" si="46"/>
        <v>0</v>
      </c>
      <c r="P503" s="587">
        <f t="shared" si="46"/>
        <v>0</v>
      </c>
    </row>
    <row r="504" spans="2:16">
      <c r="B504" s="587" t="s">
        <v>868</v>
      </c>
      <c r="C504" s="587" t="s">
        <v>869</v>
      </c>
      <c r="D504" s="587" t="s">
        <v>871</v>
      </c>
      <c r="E504" s="587"/>
      <c r="F504" s="587" t="str">
        <f t="shared" si="47"/>
        <v>Marche à pied (exclusivement sur tout le trajet)</v>
      </c>
      <c r="G504" s="587">
        <f t="shared" si="48"/>
        <v>7</v>
      </c>
      <c r="H504" s="587"/>
      <c r="I504" s="587">
        <v>3</v>
      </c>
      <c r="J504" s="587">
        <f t="shared" si="49"/>
        <v>0</v>
      </c>
      <c r="K504" s="587"/>
      <c r="L504" s="587"/>
      <c r="M504" s="587">
        <f t="shared" si="46"/>
        <v>7</v>
      </c>
      <c r="N504" s="587">
        <f t="shared" si="46"/>
        <v>0</v>
      </c>
      <c r="O504" s="587">
        <f t="shared" si="46"/>
        <v>0</v>
      </c>
      <c r="P504" s="587">
        <f t="shared" si="46"/>
        <v>0</v>
      </c>
    </row>
    <row r="505" spans="2:16">
      <c r="B505" s="587" t="s">
        <v>868</v>
      </c>
      <c r="C505" s="587" t="s">
        <v>882</v>
      </c>
      <c r="D505" s="587" t="s">
        <v>879</v>
      </c>
      <c r="E505" s="587"/>
      <c r="F505" s="587" t="str">
        <f t="shared" si="47"/>
        <v>Voiture (seul(e))</v>
      </c>
      <c r="G505" s="587">
        <f t="shared" si="48"/>
        <v>3</v>
      </c>
      <c r="H505" s="587"/>
      <c r="I505" s="587">
        <v>45</v>
      </c>
      <c r="J505" s="587">
        <f t="shared" si="49"/>
        <v>2.7600000000000002</v>
      </c>
      <c r="K505" s="587"/>
      <c r="L505" s="587"/>
      <c r="M505" s="587">
        <f t="shared" si="46"/>
        <v>0</v>
      </c>
      <c r="N505" s="587">
        <f t="shared" si="46"/>
        <v>0</v>
      </c>
      <c r="O505" s="587">
        <f t="shared" si="46"/>
        <v>3</v>
      </c>
      <c r="P505" s="587">
        <f t="shared" si="46"/>
        <v>0</v>
      </c>
    </row>
    <row r="506" spans="2:16">
      <c r="B506" s="587" t="s">
        <v>868</v>
      </c>
      <c r="C506" s="587" t="s">
        <v>869</v>
      </c>
      <c r="D506" s="587"/>
      <c r="E506" s="587" t="s">
        <v>872</v>
      </c>
      <c r="F506" s="587" t="str">
        <f t="shared" si="47"/>
        <v>Vélo personnel (y compris vélo à assistance électrique)</v>
      </c>
      <c r="G506" s="587">
        <f t="shared" si="48"/>
        <v>7</v>
      </c>
      <c r="H506" s="587"/>
      <c r="I506" s="587">
        <v>40</v>
      </c>
      <c r="J506" s="587">
        <f t="shared" si="49"/>
        <v>0</v>
      </c>
      <c r="K506" s="587"/>
      <c r="L506" s="587"/>
      <c r="M506" s="587">
        <f t="shared" si="46"/>
        <v>7</v>
      </c>
      <c r="N506" s="587">
        <f t="shared" si="46"/>
        <v>0</v>
      </c>
      <c r="O506" s="587">
        <f t="shared" si="46"/>
        <v>0</v>
      </c>
      <c r="P506" s="587">
        <f t="shared" si="46"/>
        <v>0</v>
      </c>
    </row>
    <row r="507" spans="2:16">
      <c r="B507" s="587" t="s">
        <v>868</v>
      </c>
      <c r="C507" s="587" t="s">
        <v>882</v>
      </c>
      <c r="D507" s="587"/>
      <c r="E507" s="587" t="s">
        <v>878</v>
      </c>
      <c r="F507" s="587" t="str">
        <f t="shared" si="47"/>
        <v>Marche à pied au-delà de 5 minutes</v>
      </c>
      <c r="G507" s="587">
        <f t="shared" si="48"/>
        <v>7</v>
      </c>
      <c r="H507" s="587"/>
      <c r="I507" s="587">
        <v>30</v>
      </c>
      <c r="J507" s="587">
        <f t="shared" si="49"/>
        <v>0</v>
      </c>
      <c r="K507" s="587"/>
      <c r="L507" s="587"/>
      <c r="M507" s="587">
        <f t="shared" si="46"/>
        <v>0</v>
      </c>
      <c r="N507" s="587">
        <f t="shared" si="46"/>
        <v>0</v>
      </c>
      <c r="O507" s="587">
        <f t="shared" si="46"/>
        <v>7</v>
      </c>
      <c r="P507" s="587">
        <f t="shared" si="46"/>
        <v>0</v>
      </c>
    </row>
    <row r="508" spans="2:16">
      <c r="B508" s="587" t="s">
        <v>868</v>
      </c>
      <c r="C508" s="587" t="s">
        <v>869</v>
      </c>
      <c r="D508" s="587" t="s">
        <v>873</v>
      </c>
      <c r="E508" s="587"/>
      <c r="F508" s="587" t="str">
        <f t="shared" si="47"/>
        <v>Tramway</v>
      </c>
      <c r="G508" s="587">
        <f t="shared" si="48"/>
        <v>1</v>
      </c>
      <c r="H508" s="587"/>
      <c r="I508" s="587">
        <v>20</v>
      </c>
      <c r="J508" s="587">
        <f t="shared" si="49"/>
        <v>4.8833333333333326E-2</v>
      </c>
      <c r="K508" s="587"/>
      <c r="L508" s="587"/>
      <c r="M508" s="587">
        <f t="shared" si="46"/>
        <v>1</v>
      </c>
      <c r="N508" s="587">
        <f t="shared" si="46"/>
        <v>0</v>
      </c>
      <c r="O508" s="587">
        <f t="shared" si="46"/>
        <v>0</v>
      </c>
      <c r="P508" s="587">
        <f t="shared" si="46"/>
        <v>0</v>
      </c>
    </row>
    <row r="509" spans="2:16">
      <c r="B509" s="587" t="s">
        <v>868</v>
      </c>
      <c r="C509" s="587" t="s">
        <v>869</v>
      </c>
      <c r="D509" s="587" t="s">
        <v>872</v>
      </c>
      <c r="E509" s="587"/>
      <c r="F509" s="587" t="str">
        <f t="shared" si="47"/>
        <v>Vélo personnel (y compris vélo à assistance électrique)</v>
      </c>
      <c r="G509" s="587">
        <f t="shared" si="48"/>
        <v>7</v>
      </c>
      <c r="H509" s="587"/>
      <c r="I509" s="587">
        <v>10</v>
      </c>
      <c r="J509" s="587">
        <f t="shared" si="49"/>
        <v>0</v>
      </c>
      <c r="K509" s="587"/>
      <c r="L509" s="587"/>
      <c r="M509" s="587">
        <f t="shared" si="46"/>
        <v>7</v>
      </c>
      <c r="N509" s="587">
        <f t="shared" si="46"/>
        <v>0</v>
      </c>
      <c r="O509" s="587">
        <f t="shared" si="46"/>
        <v>0</v>
      </c>
      <c r="P509" s="587">
        <f t="shared" si="46"/>
        <v>0</v>
      </c>
    </row>
    <row r="510" spans="2:16">
      <c r="B510" s="587" t="s">
        <v>868</v>
      </c>
      <c r="C510" s="587" t="s">
        <v>882</v>
      </c>
      <c r="D510" s="587"/>
      <c r="E510" s="587" t="s">
        <v>878</v>
      </c>
      <c r="F510" s="587" t="str">
        <f t="shared" si="47"/>
        <v>Marche à pied au-delà de 5 minutes</v>
      </c>
      <c r="G510" s="587">
        <f t="shared" si="48"/>
        <v>7</v>
      </c>
      <c r="H510" s="587"/>
      <c r="I510" s="587">
        <v>30</v>
      </c>
      <c r="J510" s="587">
        <f t="shared" si="49"/>
        <v>0</v>
      </c>
      <c r="K510" s="587"/>
      <c r="L510" s="587"/>
      <c r="M510" s="587">
        <f t="shared" si="46"/>
        <v>0</v>
      </c>
      <c r="N510" s="587">
        <f t="shared" si="46"/>
        <v>0</v>
      </c>
      <c r="O510" s="587">
        <f t="shared" si="46"/>
        <v>7</v>
      </c>
      <c r="P510" s="587">
        <f t="shared" si="46"/>
        <v>0</v>
      </c>
    </row>
    <row r="511" spans="2:16">
      <c r="B511" s="587" t="s">
        <v>868</v>
      </c>
      <c r="C511" s="587" t="s">
        <v>882</v>
      </c>
      <c r="D511" s="587"/>
      <c r="E511" s="587" t="s">
        <v>870</v>
      </c>
      <c r="F511" s="587" t="str">
        <f t="shared" si="47"/>
        <v>Métro</v>
      </c>
      <c r="G511" s="587">
        <f t="shared" si="48"/>
        <v>1</v>
      </c>
      <c r="H511" s="587"/>
      <c r="I511" s="587">
        <v>25</v>
      </c>
      <c r="J511" s="587">
        <f t="shared" si="49"/>
        <v>4.8833333333333326E-2</v>
      </c>
      <c r="K511" s="587"/>
      <c r="L511" s="587"/>
      <c r="M511" s="587">
        <f t="shared" si="46"/>
        <v>0</v>
      </c>
      <c r="N511" s="587">
        <f t="shared" si="46"/>
        <v>0</v>
      </c>
      <c r="O511" s="587">
        <f t="shared" si="46"/>
        <v>1</v>
      </c>
      <c r="P511" s="587">
        <f t="shared" si="46"/>
        <v>0</v>
      </c>
    </row>
    <row r="512" spans="2:16">
      <c r="B512" s="587" t="s">
        <v>868</v>
      </c>
      <c r="C512" s="587" t="s">
        <v>869</v>
      </c>
      <c r="D512" s="587" t="s">
        <v>877</v>
      </c>
      <c r="E512" s="587"/>
      <c r="F512" s="587" t="str">
        <f t="shared" si="47"/>
        <v>Vélo’v</v>
      </c>
      <c r="G512" s="587">
        <f t="shared" si="48"/>
        <v>7</v>
      </c>
      <c r="H512" s="587"/>
      <c r="I512" s="587">
        <v>15</v>
      </c>
      <c r="J512" s="587">
        <f t="shared" si="49"/>
        <v>0</v>
      </c>
      <c r="K512" s="587"/>
      <c r="L512" s="587"/>
      <c r="M512" s="587">
        <f t="shared" si="46"/>
        <v>7</v>
      </c>
      <c r="N512" s="587">
        <f t="shared" si="46"/>
        <v>0</v>
      </c>
      <c r="O512" s="587">
        <f t="shared" si="46"/>
        <v>0</v>
      </c>
      <c r="P512" s="587">
        <f t="shared" si="46"/>
        <v>0</v>
      </c>
    </row>
    <row r="513" spans="2:16">
      <c r="B513" s="587" t="s">
        <v>868</v>
      </c>
      <c r="C513" s="587" t="s">
        <v>869</v>
      </c>
      <c r="D513" s="587" t="s">
        <v>871</v>
      </c>
      <c r="E513" s="587"/>
      <c r="F513" s="587" t="str">
        <f t="shared" si="47"/>
        <v>Marche à pied (exclusivement sur tout le trajet)</v>
      </c>
      <c r="G513" s="587">
        <f t="shared" si="48"/>
        <v>7</v>
      </c>
      <c r="H513" s="587"/>
      <c r="I513" s="587">
        <v>15</v>
      </c>
      <c r="J513" s="587">
        <f t="shared" si="49"/>
        <v>0</v>
      </c>
      <c r="K513" s="587"/>
      <c r="L513" s="587"/>
      <c r="M513" s="587">
        <f t="shared" si="46"/>
        <v>7</v>
      </c>
      <c r="N513" s="587">
        <f t="shared" si="46"/>
        <v>0</v>
      </c>
      <c r="O513" s="587">
        <f t="shared" si="46"/>
        <v>0</v>
      </c>
      <c r="P513" s="587">
        <f t="shared" si="46"/>
        <v>0</v>
      </c>
    </row>
    <row r="514" spans="2:16">
      <c r="B514" s="587" t="s">
        <v>868</v>
      </c>
      <c r="C514" s="587" t="s">
        <v>869</v>
      </c>
      <c r="D514" s="587" t="s">
        <v>871</v>
      </c>
      <c r="E514" s="587"/>
      <c r="F514" s="587" t="str">
        <f t="shared" si="47"/>
        <v>Marche à pied (exclusivement sur tout le trajet)</v>
      </c>
      <c r="G514" s="587">
        <f t="shared" si="48"/>
        <v>7</v>
      </c>
      <c r="H514" s="587"/>
      <c r="I514" s="587">
        <v>5</v>
      </c>
      <c r="J514" s="587">
        <f t="shared" si="49"/>
        <v>0</v>
      </c>
      <c r="K514" s="587"/>
      <c r="L514" s="587"/>
      <c r="M514" s="587">
        <f t="shared" si="46"/>
        <v>7</v>
      </c>
      <c r="N514" s="587">
        <f t="shared" si="46"/>
        <v>0</v>
      </c>
      <c r="O514" s="587">
        <f t="shared" si="46"/>
        <v>0</v>
      </c>
      <c r="P514" s="587">
        <f t="shared" si="46"/>
        <v>0</v>
      </c>
    </row>
    <row r="515" spans="2:16">
      <c r="B515" s="587" t="s">
        <v>868</v>
      </c>
      <c r="C515" s="587" t="s">
        <v>875</v>
      </c>
      <c r="D515" s="587" t="s">
        <v>879</v>
      </c>
      <c r="E515" s="587"/>
      <c r="F515" s="587" t="str">
        <f t="shared" si="47"/>
        <v>Voiture (seul(e))</v>
      </c>
      <c r="G515" s="587">
        <f t="shared" si="48"/>
        <v>3</v>
      </c>
      <c r="H515" s="587"/>
      <c r="I515" s="587">
        <v>15</v>
      </c>
      <c r="J515" s="587">
        <f t="shared" si="49"/>
        <v>2.7600000000000002</v>
      </c>
      <c r="K515" s="587"/>
      <c r="L515" s="587"/>
      <c r="M515" s="587">
        <f t="shared" si="46"/>
        <v>0</v>
      </c>
      <c r="N515" s="587">
        <f t="shared" si="46"/>
        <v>3</v>
      </c>
      <c r="O515" s="587">
        <f t="shared" si="46"/>
        <v>0</v>
      </c>
      <c r="P515" s="587">
        <f t="shared" si="46"/>
        <v>0</v>
      </c>
    </row>
    <row r="516" spans="2:16">
      <c r="B516" s="587" t="s">
        <v>868</v>
      </c>
      <c r="C516" s="587" t="s">
        <v>869</v>
      </c>
      <c r="D516" s="587" t="s">
        <v>876</v>
      </c>
      <c r="E516" s="587"/>
      <c r="F516" s="587" t="str">
        <f t="shared" si="47"/>
        <v>Trottinette, roller, skateboard,...</v>
      </c>
      <c r="G516" s="587">
        <f t="shared" si="48"/>
        <v>7</v>
      </c>
      <c r="H516" s="587"/>
      <c r="I516" s="587">
        <v>5</v>
      </c>
      <c r="J516" s="587">
        <f t="shared" si="49"/>
        <v>0</v>
      </c>
      <c r="K516" s="587"/>
      <c r="L516" s="587"/>
      <c r="M516" s="587">
        <f t="shared" si="46"/>
        <v>7</v>
      </c>
      <c r="N516" s="587">
        <f t="shared" si="46"/>
        <v>0</v>
      </c>
      <c r="O516" s="587">
        <f t="shared" si="46"/>
        <v>0</v>
      </c>
      <c r="P516" s="587">
        <f t="shared" si="46"/>
        <v>0</v>
      </c>
    </row>
    <row r="517" spans="2:16">
      <c r="B517" s="587" t="s">
        <v>868</v>
      </c>
      <c r="C517" s="587" t="s">
        <v>869</v>
      </c>
      <c r="D517" s="587" t="s">
        <v>871</v>
      </c>
      <c r="E517" s="587"/>
      <c r="F517" s="587" t="str">
        <f t="shared" si="47"/>
        <v>Marche à pied (exclusivement sur tout le trajet)</v>
      </c>
      <c r="G517" s="587">
        <f t="shared" si="48"/>
        <v>7</v>
      </c>
      <c r="H517" s="587"/>
      <c r="I517" s="587">
        <v>1</v>
      </c>
      <c r="J517" s="587">
        <f t="shared" si="49"/>
        <v>0</v>
      </c>
      <c r="K517" s="587"/>
      <c r="L517" s="587"/>
      <c r="M517" s="587">
        <f t="shared" si="46"/>
        <v>7</v>
      </c>
      <c r="N517" s="587">
        <f t="shared" si="46"/>
        <v>0</v>
      </c>
      <c r="O517" s="587">
        <f t="shared" si="46"/>
        <v>0</v>
      </c>
      <c r="P517" s="587">
        <f t="shared" si="46"/>
        <v>0</v>
      </c>
    </row>
    <row r="518" spans="2:16">
      <c r="B518" s="587" t="s">
        <v>868</v>
      </c>
      <c r="C518" s="587" t="s">
        <v>875</v>
      </c>
      <c r="D518" s="587" t="s">
        <v>872</v>
      </c>
      <c r="E518" s="587"/>
      <c r="F518" s="587" t="str">
        <f t="shared" si="47"/>
        <v>Vélo personnel (y compris vélo à assistance électrique)</v>
      </c>
      <c r="G518" s="587">
        <f t="shared" si="48"/>
        <v>7</v>
      </c>
      <c r="H518" s="587"/>
      <c r="I518" s="587">
        <v>20</v>
      </c>
      <c r="J518" s="587">
        <f t="shared" si="49"/>
        <v>0</v>
      </c>
      <c r="K518" s="587"/>
      <c r="L518" s="587"/>
      <c r="M518" s="587">
        <f t="shared" si="46"/>
        <v>0</v>
      </c>
      <c r="N518" s="587">
        <f t="shared" si="46"/>
        <v>7</v>
      </c>
      <c r="O518" s="587">
        <f t="shared" si="46"/>
        <v>0</v>
      </c>
      <c r="P518" s="587">
        <f t="shared" si="46"/>
        <v>0</v>
      </c>
    </row>
    <row r="519" spans="2:16">
      <c r="B519" s="587" t="s">
        <v>868</v>
      </c>
      <c r="C519" s="587" t="s">
        <v>869</v>
      </c>
      <c r="D519" s="587" t="s">
        <v>877</v>
      </c>
      <c r="E519" s="587"/>
      <c r="F519" s="587" t="str">
        <f t="shared" si="47"/>
        <v>Vélo’v</v>
      </c>
      <c r="G519" s="587">
        <f t="shared" si="48"/>
        <v>7</v>
      </c>
      <c r="H519" s="587"/>
      <c r="I519" s="587">
        <v>13</v>
      </c>
      <c r="J519" s="587">
        <f t="shared" si="49"/>
        <v>0</v>
      </c>
      <c r="K519" s="587"/>
      <c r="L519" s="587"/>
      <c r="M519" s="587">
        <f t="shared" si="46"/>
        <v>7</v>
      </c>
      <c r="N519" s="587">
        <f t="shared" si="46"/>
        <v>0</v>
      </c>
      <c r="O519" s="587">
        <f t="shared" si="46"/>
        <v>0</v>
      </c>
      <c r="P519" s="587">
        <f t="shared" si="46"/>
        <v>0</v>
      </c>
    </row>
    <row r="520" spans="2:16">
      <c r="B520" s="587" t="s">
        <v>868</v>
      </c>
      <c r="C520" s="587" t="s">
        <v>869</v>
      </c>
      <c r="D520" s="587" t="s">
        <v>871</v>
      </c>
      <c r="E520" s="587"/>
      <c r="F520" s="587" t="str">
        <f t="shared" si="47"/>
        <v>Marche à pied (exclusivement sur tout le trajet)</v>
      </c>
      <c r="G520" s="587">
        <f t="shared" si="48"/>
        <v>7</v>
      </c>
      <c r="H520" s="587"/>
      <c r="I520" s="587">
        <v>7</v>
      </c>
      <c r="J520" s="587">
        <f t="shared" si="49"/>
        <v>0</v>
      </c>
      <c r="K520" s="587"/>
      <c r="L520" s="587"/>
      <c r="M520" s="587">
        <f t="shared" si="46"/>
        <v>7</v>
      </c>
      <c r="N520" s="587">
        <f t="shared" si="46"/>
        <v>0</v>
      </c>
      <c r="O520" s="587">
        <f t="shared" si="46"/>
        <v>0</v>
      </c>
      <c r="P520" s="587">
        <f t="shared" si="46"/>
        <v>0</v>
      </c>
    </row>
    <row r="521" spans="2:16">
      <c r="B521" s="587" t="s">
        <v>868</v>
      </c>
      <c r="C521" s="587" t="s">
        <v>869</v>
      </c>
      <c r="D521" s="587" t="s">
        <v>872</v>
      </c>
      <c r="E521" s="587"/>
      <c r="F521" s="587" t="str">
        <f t="shared" si="47"/>
        <v>Vélo personnel (y compris vélo à assistance électrique)</v>
      </c>
      <c r="G521" s="587">
        <f t="shared" si="48"/>
        <v>7</v>
      </c>
      <c r="H521" s="587"/>
      <c r="I521" s="587">
        <v>5</v>
      </c>
      <c r="J521" s="587">
        <f t="shared" si="49"/>
        <v>0</v>
      </c>
      <c r="K521" s="587"/>
      <c r="L521" s="587"/>
      <c r="M521" s="587">
        <f t="shared" si="46"/>
        <v>7</v>
      </c>
      <c r="N521" s="587">
        <f t="shared" si="46"/>
        <v>0</v>
      </c>
      <c r="O521" s="587">
        <f t="shared" si="46"/>
        <v>0</v>
      </c>
      <c r="P521" s="587">
        <f t="shared" si="46"/>
        <v>0</v>
      </c>
    </row>
    <row r="522" spans="2:16">
      <c r="B522" s="587" t="s">
        <v>868</v>
      </c>
      <c r="C522" s="587" t="s">
        <v>869</v>
      </c>
      <c r="D522" s="587" t="s">
        <v>871</v>
      </c>
      <c r="E522" s="587"/>
      <c r="F522" s="587" t="str">
        <f t="shared" si="47"/>
        <v>Marche à pied (exclusivement sur tout le trajet)</v>
      </c>
      <c r="G522" s="587">
        <f t="shared" si="48"/>
        <v>7</v>
      </c>
      <c r="H522" s="587"/>
      <c r="I522" s="587">
        <v>8</v>
      </c>
      <c r="J522" s="587">
        <f t="shared" si="49"/>
        <v>0</v>
      </c>
      <c r="K522" s="587"/>
      <c r="L522" s="587"/>
      <c r="M522" s="587">
        <f t="shared" si="46"/>
        <v>7</v>
      </c>
      <c r="N522" s="587">
        <f t="shared" si="46"/>
        <v>0</v>
      </c>
      <c r="O522" s="587">
        <f t="shared" si="46"/>
        <v>0</v>
      </c>
      <c r="P522" s="587">
        <f t="shared" si="46"/>
        <v>0</v>
      </c>
    </row>
    <row r="523" spans="2:16">
      <c r="B523" s="587" t="s">
        <v>868</v>
      </c>
      <c r="C523" s="587" t="s">
        <v>869</v>
      </c>
      <c r="D523" s="587" t="s">
        <v>872</v>
      </c>
      <c r="E523" s="587"/>
      <c r="F523" s="587" t="str">
        <f t="shared" si="47"/>
        <v>Vélo personnel (y compris vélo à assistance électrique)</v>
      </c>
      <c r="G523" s="587">
        <f t="shared" si="48"/>
        <v>7</v>
      </c>
      <c r="H523" s="587"/>
      <c r="I523" s="587">
        <v>5</v>
      </c>
      <c r="J523" s="587">
        <f t="shared" si="49"/>
        <v>0</v>
      </c>
      <c r="K523" s="587"/>
      <c r="L523" s="587"/>
      <c r="M523" s="587">
        <f t="shared" si="46"/>
        <v>7</v>
      </c>
      <c r="N523" s="587">
        <f t="shared" si="46"/>
        <v>0</v>
      </c>
      <c r="O523" s="587">
        <f t="shared" si="46"/>
        <v>0</v>
      </c>
      <c r="P523" s="587">
        <f t="shared" si="46"/>
        <v>0</v>
      </c>
    </row>
    <row r="524" spans="2:16">
      <c r="B524" s="587" t="s">
        <v>868</v>
      </c>
      <c r="C524" s="587" t="s">
        <v>882</v>
      </c>
      <c r="D524" s="587" t="s">
        <v>872</v>
      </c>
      <c r="E524" s="587"/>
      <c r="F524" s="587" t="str">
        <f t="shared" si="47"/>
        <v>Vélo personnel (y compris vélo à assistance électrique)</v>
      </c>
      <c r="G524" s="587">
        <f t="shared" si="48"/>
        <v>7</v>
      </c>
      <c r="H524" s="587"/>
      <c r="I524" s="587">
        <v>5</v>
      </c>
      <c r="J524" s="587">
        <f t="shared" si="49"/>
        <v>0</v>
      </c>
      <c r="K524" s="587"/>
      <c r="L524" s="587"/>
      <c r="M524" s="587">
        <f t="shared" si="46"/>
        <v>0</v>
      </c>
      <c r="N524" s="587">
        <f t="shared" si="46"/>
        <v>0</v>
      </c>
      <c r="O524" s="587">
        <f t="shared" si="46"/>
        <v>7</v>
      </c>
      <c r="P524" s="587">
        <f t="shared" si="46"/>
        <v>0</v>
      </c>
    </row>
    <row r="525" spans="2:16">
      <c r="B525" s="587" t="s">
        <v>868</v>
      </c>
      <c r="C525" s="587" t="s">
        <v>869</v>
      </c>
      <c r="D525" s="587"/>
      <c r="E525" s="587" t="s">
        <v>878</v>
      </c>
      <c r="F525" s="587" t="str">
        <f t="shared" si="47"/>
        <v>Marche à pied au-delà de 5 minutes</v>
      </c>
      <c r="G525" s="587">
        <f t="shared" si="48"/>
        <v>7</v>
      </c>
      <c r="H525" s="587"/>
      <c r="I525" s="587">
        <v>5</v>
      </c>
      <c r="J525" s="587">
        <f t="shared" si="49"/>
        <v>0</v>
      </c>
      <c r="K525" s="587"/>
      <c r="L525" s="587"/>
      <c r="M525" s="587">
        <f t="shared" si="46"/>
        <v>7</v>
      </c>
      <c r="N525" s="587">
        <f t="shared" si="46"/>
        <v>0</v>
      </c>
      <c r="O525" s="587">
        <f t="shared" si="46"/>
        <v>0</v>
      </c>
      <c r="P525" s="587">
        <f t="shared" si="46"/>
        <v>0</v>
      </c>
    </row>
    <row r="526" spans="2:16">
      <c r="B526" s="587" t="s">
        <v>868</v>
      </c>
      <c r="C526" s="587" t="s">
        <v>882</v>
      </c>
      <c r="D526" s="587" t="s">
        <v>879</v>
      </c>
      <c r="E526" s="587"/>
      <c r="F526" s="587" t="str">
        <f t="shared" si="47"/>
        <v>Voiture (seul(e))</v>
      </c>
      <c r="G526" s="587">
        <f t="shared" si="48"/>
        <v>3</v>
      </c>
      <c r="H526" s="587"/>
      <c r="I526" s="587">
        <v>23</v>
      </c>
      <c r="J526" s="587">
        <f t="shared" si="49"/>
        <v>2.7600000000000002</v>
      </c>
      <c r="K526" s="587"/>
      <c r="L526" s="587"/>
      <c r="M526" s="587">
        <f t="shared" si="46"/>
        <v>0</v>
      </c>
      <c r="N526" s="587">
        <f t="shared" si="46"/>
        <v>0</v>
      </c>
      <c r="O526" s="587">
        <f t="shared" si="46"/>
        <v>3</v>
      </c>
      <c r="P526" s="587">
        <f t="shared" si="46"/>
        <v>0</v>
      </c>
    </row>
    <row r="527" spans="2:16">
      <c r="B527" s="587" t="s">
        <v>868</v>
      </c>
      <c r="C527" s="587" t="s">
        <v>875</v>
      </c>
      <c r="D527" s="587" t="s">
        <v>873</v>
      </c>
      <c r="E527" s="587"/>
      <c r="F527" s="587" t="str">
        <f t="shared" si="47"/>
        <v>Tramway</v>
      </c>
      <c r="G527" s="587">
        <f t="shared" si="48"/>
        <v>1</v>
      </c>
      <c r="H527" s="587"/>
      <c r="I527" s="587">
        <v>20</v>
      </c>
      <c r="J527" s="587">
        <f t="shared" si="49"/>
        <v>4.8833333333333326E-2</v>
      </c>
      <c r="K527" s="587"/>
      <c r="L527" s="587"/>
      <c r="M527" s="587">
        <f t="shared" si="46"/>
        <v>0</v>
      </c>
      <c r="N527" s="587">
        <f t="shared" si="46"/>
        <v>1</v>
      </c>
      <c r="O527" s="587">
        <f t="shared" si="46"/>
        <v>0</v>
      </c>
      <c r="P527" s="587">
        <f t="shared" si="46"/>
        <v>0</v>
      </c>
    </row>
    <row r="528" spans="2:16">
      <c r="B528" s="587" t="s">
        <v>868</v>
      </c>
      <c r="C528" s="587" t="s">
        <v>882</v>
      </c>
      <c r="D528" s="587" t="s">
        <v>879</v>
      </c>
      <c r="E528" s="587"/>
      <c r="F528" s="587" t="str">
        <f t="shared" si="47"/>
        <v>Voiture (seul(e))</v>
      </c>
      <c r="G528" s="587">
        <f t="shared" si="48"/>
        <v>3</v>
      </c>
      <c r="H528" s="587"/>
      <c r="I528" s="587">
        <v>15</v>
      </c>
      <c r="J528" s="587">
        <f t="shared" si="49"/>
        <v>2.7600000000000002</v>
      </c>
      <c r="K528" s="587"/>
      <c r="L528" s="587"/>
      <c r="M528" s="587">
        <f t="shared" si="46"/>
        <v>0</v>
      </c>
      <c r="N528" s="587">
        <f t="shared" si="46"/>
        <v>0</v>
      </c>
      <c r="O528" s="587">
        <f t="shared" si="46"/>
        <v>3</v>
      </c>
      <c r="P528" s="587">
        <f t="shared" si="46"/>
        <v>0</v>
      </c>
    </row>
    <row r="529" spans="2:16">
      <c r="B529" s="587" t="s">
        <v>868</v>
      </c>
      <c r="C529" s="587" t="s">
        <v>875</v>
      </c>
      <c r="D529" s="587" t="s">
        <v>879</v>
      </c>
      <c r="E529" s="587"/>
      <c r="F529" s="587" t="str">
        <f t="shared" si="47"/>
        <v>Voiture (seul(e))</v>
      </c>
      <c r="G529" s="587">
        <f t="shared" si="48"/>
        <v>3</v>
      </c>
      <c r="H529" s="587"/>
      <c r="I529" s="587">
        <v>20</v>
      </c>
      <c r="J529" s="587">
        <f t="shared" si="49"/>
        <v>2.7600000000000002</v>
      </c>
      <c r="K529" s="587"/>
      <c r="L529" s="587"/>
      <c r="M529" s="587">
        <f t="shared" si="46"/>
        <v>0</v>
      </c>
      <c r="N529" s="587">
        <f t="shared" si="46"/>
        <v>3</v>
      </c>
      <c r="O529" s="587">
        <f t="shared" si="46"/>
        <v>0</v>
      </c>
      <c r="P529" s="587">
        <f t="shared" si="46"/>
        <v>0</v>
      </c>
    </row>
    <row r="530" spans="2:16">
      <c r="B530" s="587" t="s">
        <v>868</v>
      </c>
      <c r="C530" s="587" t="s">
        <v>869</v>
      </c>
      <c r="D530" s="587" t="s">
        <v>879</v>
      </c>
      <c r="E530" s="587"/>
      <c r="F530" s="587" t="str">
        <f t="shared" si="47"/>
        <v>Voiture (seul(e))</v>
      </c>
      <c r="G530" s="587">
        <f t="shared" si="48"/>
        <v>3</v>
      </c>
      <c r="H530" s="587"/>
      <c r="I530" s="587">
        <v>15</v>
      </c>
      <c r="J530" s="587">
        <f t="shared" si="49"/>
        <v>2.7600000000000002</v>
      </c>
      <c r="K530" s="587"/>
      <c r="L530" s="587"/>
      <c r="M530" s="587">
        <f t="shared" si="46"/>
        <v>3</v>
      </c>
      <c r="N530" s="587">
        <f t="shared" si="46"/>
        <v>0</v>
      </c>
      <c r="O530" s="587">
        <f t="shared" si="46"/>
        <v>0</v>
      </c>
      <c r="P530" s="587">
        <f t="shared" si="46"/>
        <v>0</v>
      </c>
    </row>
    <row r="531" spans="2:16">
      <c r="B531" s="587" t="s">
        <v>868</v>
      </c>
      <c r="C531" s="587" t="s">
        <v>869</v>
      </c>
      <c r="D531" s="587" t="s">
        <v>871</v>
      </c>
      <c r="E531" s="587"/>
      <c r="F531" s="587" t="str">
        <f t="shared" si="47"/>
        <v>Marche à pied (exclusivement sur tout le trajet)</v>
      </c>
      <c r="G531" s="587">
        <f t="shared" si="48"/>
        <v>7</v>
      </c>
      <c r="H531" s="587"/>
      <c r="I531" s="587">
        <v>5</v>
      </c>
      <c r="J531" s="587">
        <f t="shared" si="49"/>
        <v>0</v>
      </c>
      <c r="K531" s="587"/>
      <c r="L531" s="587"/>
      <c r="M531" s="587">
        <f t="shared" si="46"/>
        <v>7</v>
      </c>
      <c r="N531" s="587">
        <f t="shared" si="46"/>
        <v>0</v>
      </c>
      <c r="O531" s="587">
        <f t="shared" si="46"/>
        <v>0</v>
      </c>
      <c r="P531" s="587">
        <f t="shared" si="46"/>
        <v>0</v>
      </c>
    </row>
    <row r="532" spans="2:16">
      <c r="B532" s="587" t="s">
        <v>868</v>
      </c>
      <c r="C532" s="587" t="s">
        <v>875</v>
      </c>
      <c r="D532" s="587" t="s">
        <v>872</v>
      </c>
      <c r="E532" s="587"/>
      <c r="F532" s="587" t="str">
        <f t="shared" si="47"/>
        <v>Vélo personnel (y compris vélo à assistance électrique)</v>
      </c>
      <c r="G532" s="587">
        <f t="shared" si="48"/>
        <v>7</v>
      </c>
      <c r="H532" s="587"/>
      <c r="I532" s="587">
        <v>25</v>
      </c>
      <c r="J532" s="587">
        <f t="shared" si="49"/>
        <v>0</v>
      </c>
      <c r="K532" s="587"/>
      <c r="L532" s="587"/>
      <c r="M532" s="587">
        <f t="shared" si="46"/>
        <v>0</v>
      </c>
      <c r="N532" s="587">
        <f t="shared" si="46"/>
        <v>7</v>
      </c>
      <c r="O532" s="587">
        <f t="shared" si="46"/>
        <v>0</v>
      </c>
      <c r="P532" s="587">
        <f t="shared" si="46"/>
        <v>0</v>
      </c>
    </row>
    <row r="533" spans="2:16">
      <c r="B533" s="587" t="s">
        <v>868</v>
      </c>
      <c r="C533" s="587" t="s">
        <v>869</v>
      </c>
      <c r="D533" s="587" t="s">
        <v>871</v>
      </c>
      <c r="E533" s="587"/>
      <c r="F533" s="587" t="str">
        <f t="shared" si="47"/>
        <v>Marche à pied (exclusivement sur tout le trajet)</v>
      </c>
      <c r="G533" s="587">
        <f t="shared" si="48"/>
        <v>7</v>
      </c>
      <c r="H533" s="587"/>
      <c r="I533" s="587">
        <v>12</v>
      </c>
      <c r="J533" s="587">
        <f t="shared" si="49"/>
        <v>0</v>
      </c>
      <c r="K533" s="587"/>
      <c r="L533" s="587"/>
      <c r="M533" s="587">
        <f t="shared" si="46"/>
        <v>7</v>
      </c>
      <c r="N533" s="587">
        <f t="shared" si="46"/>
        <v>0</v>
      </c>
      <c r="O533" s="587">
        <f t="shared" si="46"/>
        <v>0</v>
      </c>
      <c r="P533" s="587">
        <f t="shared" si="46"/>
        <v>0</v>
      </c>
    </row>
    <row r="534" spans="2:16">
      <c r="B534" s="587" t="s">
        <v>868</v>
      </c>
      <c r="C534" s="587" t="s">
        <v>869</v>
      </c>
      <c r="D534" s="587" t="s">
        <v>872</v>
      </c>
      <c r="E534" s="587"/>
      <c r="F534" s="587" t="str">
        <f t="shared" si="47"/>
        <v>Vélo personnel (y compris vélo à assistance électrique)</v>
      </c>
      <c r="G534" s="587">
        <f t="shared" si="48"/>
        <v>7</v>
      </c>
      <c r="H534" s="587"/>
      <c r="I534" s="587">
        <v>10</v>
      </c>
      <c r="J534" s="587">
        <f t="shared" si="49"/>
        <v>0</v>
      </c>
      <c r="K534" s="587"/>
      <c r="L534" s="587"/>
      <c r="M534" s="587">
        <f t="shared" si="46"/>
        <v>7</v>
      </c>
      <c r="N534" s="587">
        <f t="shared" si="46"/>
        <v>0</v>
      </c>
      <c r="O534" s="587">
        <f t="shared" si="46"/>
        <v>0</v>
      </c>
      <c r="P534" s="587">
        <f t="shared" si="46"/>
        <v>0</v>
      </c>
    </row>
    <row r="535" spans="2:16">
      <c r="B535" s="587" t="s">
        <v>868</v>
      </c>
      <c r="C535" s="587" t="s">
        <v>882</v>
      </c>
      <c r="D535" s="587"/>
      <c r="E535" s="587" t="s">
        <v>870</v>
      </c>
      <c r="F535" s="587" t="str">
        <f t="shared" si="47"/>
        <v>Métro</v>
      </c>
      <c r="G535" s="587">
        <f t="shared" si="48"/>
        <v>1</v>
      </c>
      <c r="H535" s="587"/>
      <c r="I535" s="587">
        <v>25</v>
      </c>
      <c r="J535" s="587">
        <f t="shared" si="49"/>
        <v>4.8833333333333326E-2</v>
      </c>
      <c r="K535" s="587"/>
      <c r="L535" s="587"/>
      <c r="M535" s="587">
        <f t="shared" si="46"/>
        <v>0</v>
      </c>
      <c r="N535" s="587">
        <f t="shared" si="46"/>
        <v>0</v>
      </c>
      <c r="O535" s="587">
        <f t="shared" si="46"/>
        <v>1</v>
      </c>
      <c r="P535" s="587">
        <f t="shared" si="46"/>
        <v>0</v>
      </c>
    </row>
    <row r="536" spans="2:16">
      <c r="B536" s="587" t="s">
        <v>868</v>
      </c>
      <c r="C536" s="587" t="s">
        <v>869</v>
      </c>
      <c r="D536" s="587" t="s">
        <v>871</v>
      </c>
      <c r="E536" s="587"/>
      <c r="F536" s="587" t="str">
        <f t="shared" si="47"/>
        <v>Marche à pied (exclusivement sur tout le trajet)</v>
      </c>
      <c r="G536" s="587">
        <f t="shared" si="48"/>
        <v>7</v>
      </c>
      <c r="H536" s="587"/>
      <c r="I536" s="587">
        <v>15</v>
      </c>
      <c r="J536" s="587">
        <f t="shared" si="49"/>
        <v>0</v>
      </c>
      <c r="K536" s="587"/>
      <c r="L536" s="587"/>
      <c r="M536" s="587">
        <f t="shared" si="46"/>
        <v>7</v>
      </c>
      <c r="N536" s="587">
        <f t="shared" si="46"/>
        <v>0</v>
      </c>
      <c r="O536" s="587">
        <f t="shared" si="46"/>
        <v>0</v>
      </c>
      <c r="P536" s="587">
        <f t="shared" si="46"/>
        <v>0</v>
      </c>
    </row>
    <row r="537" spans="2:16">
      <c r="B537" s="587" t="s">
        <v>868</v>
      </c>
      <c r="C537" s="587" t="s">
        <v>869</v>
      </c>
      <c r="D537" s="587" t="s">
        <v>871</v>
      </c>
      <c r="E537" s="587"/>
      <c r="F537" s="587" t="str">
        <f t="shared" si="47"/>
        <v>Marche à pied (exclusivement sur tout le trajet)</v>
      </c>
      <c r="G537" s="587">
        <f t="shared" si="48"/>
        <v>7</v>
      </c>
      <c r="H537" s="587"/>
      <c r="I537" s="587">
        <v>18</v>
      </c>
      <c r="J537" s="587">
        <f t="shared" si="49"/>
        <v>0</v>
      </c>
      <c r="K537" s="587"/>
      <c r="L537" s="587"/>
      <c r="M537" s="587">
        <f t="shared" si="46"/>
        <v>7</v>
      </c>
      <c r="N537" s="587">
        <f t="shared" si="46"/>
        <v>0</v>
      </c>
      <c r="O537" s="587">
        <f t="shared" si="46"/>
        <v>0</v>
      </c>
      <c r="P537" s="587">
        <f t="shared" si="46"/>
        <v>0</v>
      </c>
    </row>
    <row r="538" spans="2:16">
      <c r="B538" s="587" t="s">
        <v>868</v>
      </c>
      <c r="C538" s="587" t="s">
        <v>869</v>
      </c>
      <c r="D538" s="587" t="s">
        <v>871</v>
      </c>
      <c r="E538" s="587"/>
      <c r="F538" s="587" t="str">
        <f t="shared" si="47"/>
        <v>Marche à pied (exclusivement sur tout le trajet)</v>
      </c>
      <c r="G538" s="587">
        <f t="shared" si="48"/>
        <v>7</v>
      </c>
      <c r="H538" s="587"/>
      <c r="I538" s="587">
        <v>3</v>
      </c>
      <c r="J538" s="587">
        <f t="shared" si="49"/>
        <v>0</v>
      </c>
      <c r="K538" s="587"/>
      <c r="L538" s="587"/>
      <c r="M538" s="587">
        <f t="shared" ref="M538:P601" si="50">IF($C538=M$27,$G538,0)</f>
        <v>7</v>
      </c>
      <c r="N538" s="587">
        <f t="shared" si="50"/>
        <v>0</v>
      </c>
      <c r="O538" s="587">
        <f t="shared" si="50"/>
        <v>0</v>
      </c>
      <c r="P538" s="587">
        <f t="shared" si="50"/>
        <v>0</v>
      </c>
    </row>
    <row r="539" spans="2:16">
      <c r="B539" s="587" t="s">
        <v>868</v>
      </c>
      <c r="C539" s="587" t="s">
        <v>869</v>
      </c>
      <c r="D539" s="587" t="s">
        <v>871</v>
      </c>
      <c r="E539" s="587"/>
      <c r="F539" s="587" t="str">
        <f t="shared" si="47"/>
        <v>Marche à pied (exclusivement sur tout le trajet)</v>
      </c>
      <c r="G539" s="587">
        <f t="shared" si="48"/>
        <v>7</v>
      </c>
      <c r="H539" s="587"/>
      <c r="I539" s="587">
        <v>5</v>
      </c>
      <c r="J539" s="587">
        <f t="shared" si="49"/>
        <v>0</v>
      </c>
      <c r="K539" s="587"/>
      <c r="L539" s="587"/>
      <c r="M539" s="587">
        <f t="shared" si="50"/>
        <v>7</v>
      </c>
      <c r="N539" s="587">
        <f t="shared" si="50"/>
        <v>0</v>
      </c>
      <c r="O539" s="587">
        <f t="shared" si="50"/>
        <v>0</v>
      </c>
      <c r="P539" s="587">
        <f t="shared" si="50"/>
        <v>0</v>
      </c>
    </row>
    <row r="540" spans="2:16">
      <c r="B540" s="587" t="s">
        <v>868</v>
      </c>
      <c r="C540" s="587" t="s">
        <v>869</v>
      </c>
      <c r="D540" s="587" t="s">
        <v>871</v>
      </c>
      <c r="E540" s="587"/>
      <c r="F540" s="587" t="str">
        <f t="shared" si="47"/>
        <v>Marche à pied (exclusivement sur tout le trajet)</v>
      </c>
      <c r="G540" s="587">
        <f t="shared" si="48"/>
        <v>7</v>
      </c>
      <c r="H540" s="587"/>
      <c r="I540" s="587">
        <v>5</v>
      </c>
      <c r="J540" s="587">
        <f t="shared" si="49"/>
        <v>0</v>
      </c>
      <c r="K540" s="587"/>
      <c r="L540" s="587"/>
      <c r="M540" s="587">
        <f t="shared" si="50"/>
        <v>7</v>
      </c>
      <c r="N540" s="587">
        <f t="shared" si="50"/>
        <v>0</v>
      </c>
      <c r="O540" s="587">
        <f t="shared" si="50"/>
        <v>0</v>
      </c>
      <c r="P540" s="587">
        <f t="shared" si="50"/>
        <v>0</v>
      </c>
    </row>
    <row r="541" spans="2:16">
      <c r="B541" s="587" t="s">
        <v>868</v>
      </c>
      <c r="C541" s="587" t="s">
        <v>869</v>
      </c>
      <c r="D541" s="587" t="s">
        <v>872</v>
      </c>
      <c r="E541" s="587"/>
      <c r="F541" s="587" t="str">
        <f t="shared" si="47"/>
        <v>Vélo personnel (y compris vélo à assistance électrique)</v>
      </c>
      <c r="G541" s="587">
        <f t="shared" si="48"/>
        <v>7</v>
      </c>
      <c r="H541" s="587"/>
      <c r="I541" s="587">
        <v>5</v>
      </c>
      <c r="J541" s="587">
        <f t="shared" si="49"/>
        <v>0</v>
      </c>
      <c r="K541" s="587"/>
      <c r="L541" s="587"/>
      <c r="M541" s="587">
        <f t="shared" si="50"/>
        <v>7</v>
      </c>
      <c r="N541" s="587">
        <f t="shared" si="50"/>
        <v>0</v>
      </c>
      <c r="O541" s="587">
        <f t="shared" si="50"/>
        <v>0</v>
      </c>
      <c r="P541" s="587">
        <f t="shared" si="50"/>
        <v>0</v>
      </c>
    </row>
    <row r="542" spans="2:16">
      <c r="B542" s="587" t="s">
        <v>868</v>
      </c>
      <c r="C542" s="587" t="s">
        <v>869</v>
      </c>
      <c r="D542" s="587"/>
      <c r="E542" s="587" t="s">
        <v>870</v>
      </c>
      <c r="F542" s="587" t="str">
        <f t="shared" si="47"/>
        <v>Métro</v>
      </c>
      <c r="G542" s="587">
        <f t="shared" si="48"/>
        <v>1</v>
      </c>
      <c r="H542" s="587"/>
      <c r="I542" s="587">
        <v>10</v>
      </c>
      <c r="J542" s="587">
        <f t="shared" si="49"/>
        <v>4.8833333333333326E-2</v>
      </c>
      <c r="K542" s="587"/>
      <c r="L542" s="587"/>
      <c r="M542" s="587">
        <f t="shared" si="50"/>
        <v>1</v>
      </c>
      <c r="N542" s="587">
        <f t="shared" si="50"/>
        <v>0</v>
      </c>
      <c r="O542" s="587">
        <f t="shared" si="50"/>
        <v>0</v>
      </c>
      <c r="P542" s="587">
        <f t="shared" si="50"/>
        <v>0</v>
      </c>
    </row>
    <row r="543" spans="2:16">
      <c r="B543" s="587" t="s">
        <v>868</v>
      </c>
      <c r="C543" s="587" t="s">
        <v>869</v>
      </c>
      <c r="D543" s="587" t="s">
        <v>871</v>
      </c>
      <c r="E543" s="587"/>
      <c r="F543" s="587" t="str">
        <f t="shared" si="47"/>
        <v>Marche à pied (exclusivement sur tout le trajet)</v>
      </c>
      <c r="G543" s="587">
        <f t="shared" si="48"/>
        <v>7</v>
      </c>
      <c r="H543" s="587"/>
      <c r="I543" s="587">
        <v>5</v>
      </c>
      <c r="J543" s="587">
        <f t="shared" si="49"/>
        <v>0</v>
      </c>
      <c r="K543" s="587"/>
      <c r="L543" s="587"/>
      <c r="M543" s="587">
        <f t="shared" si="50"/>
        <v>7</v>
      </c>
      <c r="N543" s="587">
        <f t="shared" si="50"/>
        <v>0</v>
      </c>
      <c r="O543" s="587">
        <f t="shared" si="50"/>
        <v>0</v>
      </c>
      <c r="P543" s="587">
        <f t="shared" si="50"/>
        <v>0</v>
      </c>
    </row>
    <row r="544" spans="2:16">
      <c r="B544" s="587" t="s">
        <v>868</v>
      </c>
      <c r="C544" s="587" t="s">
        <v>869</v>
      </c>
      <c r="D544" s="587" t="s">
        <v>871</v>
      </c>
      <c r="E544" s="587"/>
      <c r="F544" s="587" t="str">
        <f t="shared" si="47"/>
        <v>Marche à pied (exclusivement sur tout le trajet)</v>
      </c>
      <c r="G544" s="587">
        <f t="shared" si="48"/>
        <v>7</v>
      </c>
      <c r="H544" s="587"/>
      <c r="I544" s="587">
        <v>13</v>
      </c>
      <c r="J544" s="587">
        <f t="shared" si="49"/>
        <v>0</v>
      </c>
      <c r="K544" s="587"/>
      <c r="L544" s="587"/>
      <c r="M544" s="587">
        <f t="shared" si="50"/>
        <v>7</v>
      </c>
      <c r="N544" s="587">
        <f t="shared" si="50"/>
        <v>0</v>
      </c>
      <c r="O544" s="587">
        <f t="shared" si="50"/>
        <v>0</v>
      </c>
      <c r="P544" s="587">
        <f t="shared" si="50"/>
        <v>0</v>
      </c>
    </row>
    <row r="545" spans="2:16">
      <c r="B545" s="587" t="s">
        <v>868</v>
      </c>
      <c r="C545" s="587" t="s">
        <v>869</v>
      </c>
      <c r="D545" s="587" t="s">
        <v>871</v>
      </c>
      <c r="E545" s="587"/>
      <c r="F545" s="587" t="str">
        <f t="shared" si="47"/>
        <v>Marche à pied (exclusivement sur tout le trajet)</v>
      </c>
      <c r="G545" s="587">
        <f t="shared" si="48"/>
        <v>7</v>
      </c>
      <c r="H545" s="587"/>
      <c r="I545" s="587">
        <v>10</v>
      </c>
      <c r="J545" s="587">
        <f t="shared" si="49"/>
        <v>0</v>
      </c>
      <c r="K545" s="587"/>
      <c r="L545" s="587"/>
      <c r="M545" s="587">
        <f t="shared" si="50"/>
        <v>7</v>
      </c>
      <c r="N545" s="587">
        <f t="shared" si="50"/>
        <v>0</v>
      </c>
      <c r="O545" s="587">
        <f t="shared" si="50"/>
        <v>0</v>
      </c>
      <c r="P545" s="587">
        <f t="shared" si="50"/>
        <v>0</v>
      </c>
    </row>
    <row r="546" spans="2:16">
      <c r="B546" s="587" t="s">
        <v>868</v>
      </c>
      <c r="C546" s="587" t="s">
        <v>869</v>
      </c>
      <c r="D546" s="587" t="s">
        <v>873</v>
      </c>
      <c r="E546" s="587"/>
      <c r="F546" s="587" t="str">
        <f t="shared" si="47"/>
        <v>Tramway</v>
      </c>
      <c r="G546" s="587">
        <f t="shared" si="48"/>
        <v>1</v>
      </c>
      <c r="H546" s="587"/>
      <c r="I546" s="587">
        <v>5</v>
      </c>
      <c r="J546" s="587">
        <f t="shared" si="49"/>
        <v>4.8833333333333326E-2</v>
      </c>
      <c r="K546" s="587"/>
      <c r="L546" s="587"/>
      <c r="M546" s="587">
        <f t="shared" si="50"/>
        <v>1</v>
      </c>
      <c r="N546" s="587">
        <f t="shared" si="50"/>
        <v>0</v>
      </c>
      <c r="O546" s="587">
        <f t="shared" si="50"/>
        <v>0</v>
      </c>
      <c r="P546" s="587">
        <f t="shared" si="50"/>
        <v>0</v>
      </c>
    </row>
    <row r="547" spans="2:16">
      <c r="B547" s="587" t="s">
        <v>868</v>
      </c>
      <c r="C547" s="587" t="s">
        <v>869</v>
      </c>
      <c r="D547" s="587" t="s">
        <v>871</v>
      </c>
      <c r="E547" s="587"/>
      <c r="F547" s="587" t="str">
        <f t="shared" si="47"/>
        <v>Marche à pied (exclusivement sur tout le trajet)</v>
      </c>
      <c r="G547" s="587">
        <f t="shared" si="48"/>
        <v>7</v>
      </c>
      <c r="H547" s="587"/>
      <c r="I547" s="587">
        <v>15</v>
      </c>
      <c r="J547" s="587">
        <f t="shared" si="49"/>
        <v>0</v>
      </c>
      <c r="K547" s="587"/>
      <c r="L547" s="587"/>
      <c r="M547" s="587">
        <f t="shared" si="50"/>
        <v>7</v>
      </c>
      <c r="N547" s="587">
        <f t="shared" si="50"/>
        <v>0</v>
      </c>
      <c r="O547" s="587">
        <f t="shared" si="50"/>
        <v>0</v>
      </c>
      <c r="P547" s="587">
        <f t="shared" si="50"/>
        <v>0</v>
      </c>
    </row>
    <row r="548" spans="2:16">
      <c r="B548" s="587" t="s">
        <v>868</v>
      </c>
      <c r="C548" s="587" t="s">
        <v>869</v>
      </c>
      <c r="D548" s="587" t="s">
        <v>871</v>
      </c>
      <c r="E548" s="587"/>
      <c r="F548" s="587" t="str">
        <f t="shared" si="47"/>
        <v>Marche à pied (exclusivement sur tout le trajet)</v>
      </c>
      <c r="G548" s="587">
        <f t="shared" si="48"/>
        <v>7</v>
      </c>
      <c r="H548" s="587"/>
      <c r="I548" s="587">
        <v>2</v>
      </c>
      <c r="J548" s="587">
        <f t="shared" si="49"/>
        <v>0</v>
      </c>
      <c r="K548" s="587"/>
      <c r="L548" s="587"/>
      <c r="M548" s="587">
        <f t="shared" si="50"/>
        <v>7</v>
      </c>
      <c r="N548" s="587">
        <f t="shared" si="50"/>
        <v>0</v>
      </c>
      <c r="O548" s="587">
        <f t="shared" si="50"/>
        <v>0</v>
      </c>
      <c r="P548" s="587">
        <f t="shared" si="50"/>
        <v>0</v>
      </c>
    </row>
    <row r="549" spans="2:16">
      <c r="B549" s="587" t="s">
        <v>868</v>
      </c>
      <c r="C549" s="587" t="s">
        <v>869</v>
      </c>
      <c r="D549" s="587" t="s">
        <v>871</v>
      </c>
      <c r="E549" s="587"/>
      <c r="F549" s="587" t="str">
        <f t="shared" si="47"/>
        <v>Marche à pied (exclusivement sur tout le trajet)</v>
      </c>
      <c r="G549" s="587">
        <f t="shared" si="48"/>
        <v>7</v>
      </c>
      <c r="H549" s="587"/>
      <c r="I549" s="587">
        <v>10</v>
      </c>
      <c r="J549" s="587">
        <f t="shared" si="49"/>
        <v>0</v>
      </c>
      <c r="K549" s="587"/>
      <c r="L549" s="587"/>
      <c r="M549" s="587">
        <f t="shared" si="50"/>
        <v>7</v>
      </c>
      <c r="N549" s="587">
        <f t="shared" si="50"/>
        <v>0</v>
      </c>
      <c r="O549" s="587">
        <f t="shared" si="50"/>
        <v>0</v>
      </c>
      <c r="P549" s="587">
        <f t="shared" si="50"/>
        <v>0</v>
      </c>
    </row>
    <row r="550" spans="2:16">
      <c r="B550" s="587" t="s">
        <v>868</v>
      </c>
      <c r="C550" s="587" t="s">
        <v>869</v>
      </c>
      <c r="D550" s="587" t="s">
        <v>871</v>
      </c>
      <c r="E550" s="587"/>
      <c r="F550" s="587" t="str">
        <f t="shared" si="47"/>
        <v>Marche à pied (exclusivement sur tout le trajet)</v>
      </c>
      <c r="G550" s="587">
        <f t="shared" si="48"/>
        <v>7</v>
      </c>
      <c r="H550" s="587"/>
      <c r="I550" s="587">
        <v>10</v>
      </c>
      <c r="J550" s="587">
        <f t="shared" si="49"/>
        <v>0</v>
      </c>
      <c r="K550" s="587"/>
      <c r="L550" s="587"/>
      <c r="M550" s="587">
        <f t="shared" si="50"/>
        <v>7</v>
      </c>
      <c r="N550" s="587">
        <f t="shared" si="50"/>
        <v>0</v>
      </c>
      <c r="O550" s="587">
        <f t="shared" si="50"/>
        <v>0</v>
      </c>
      <c r="P550" s="587">
        <f t="shared" si="50"/>
        <v>0</v>
      </c>
    </row>
    <row r="551" spans="2:16">
      <c r="B551" s="587" t="s">
        <v>868</v>
      </c>
      <c r="C551" s="587" t="s">
        <v>869</v>
      </c>
      <c r="D551" s="587" t="s">
        <v>871</v>
      </c>
      <c r="E551" s="587"/>
      <c r="F551" s="587" t="str">
        <f t="shared" si="47"/>
        <v>Marche à pied (exclusivement sur tout le trajet)</v>
      </c>
      <c r="G551" s="587">
        <f t="shared" si="48"/>
        <v>7</v>
      </c>
      <c r="H551" s="587"/>
      <c r="I551" s="587">
        <v>15</v>
      </c>
      <c r="J551" s="587">
        <f t="shared" si="49"/>
        <v>0</v>
      </c>
      <c r="K551" s="587"/>
      <c r="L551" s="587"/>
      <c r="M551" s="587">
        <f t="shared" si="50"/>
        <v>7</v>
      </c>
      <c r="N551" s="587">
        <f t="shared" si="50"/>
        <v>0</v>
      </c>
      <c r="O551" s="587">
        <f t="shared" si="50"/>
        <v>0</v>
      </c>
      <c r="P551" s="587">
        <f t="shared" si="50"/>
        <v>0</v>
      </c>
    </row>
    <row r="552" spans="2:16">
      <c r="B552" s="587" t="s">
        <v>868</v>
      </c>
      <c r="C552" s="587" t="s">
        <v>869</v>
      </c>
      <c r="D552" s="587"/>
      <c r="E552" s="587" t="s">
        <v>873</v>
      </c>
      <c r="F552" s="587" t="str">
        <f t="shared" si="47"/>
        <v>Tramway</v>
      </c>
      <c r="G552" s="587">
        <f t="shared" si="48"/>
        <v>1</v>
      </c>
      <c r="H552" s="587"/>
      <c r="I552" s="587">
        <v>8</v>
      </c>
      <c r="J552" s="587">
        <f t="shared" si="49"/>
        <v>4.8833333333333326E-2</v>
      </c>
      <c r="K552" s="587"/>
      <c r="L552" s="587"/>
      <c r="M552" s="587">
        <f t="shared" si="50"/>
        <v>1</v>
      </c>
      <c r="N552" s="587">
        <f t="shared" si="50"/>
        <v>0</v>
      </c>
      <c r="O552" s="587">
        <f t="shared" si="50"/>
        <v>0</v>
      </c>
      <c r="P552" s="587">
        <f t="shared" si="50"/>
        <v>0</v>
      </c>
    </row>
    <row r="553" spans="2:16">
      <c r="B553" s="587" t="s">
        <v>868</v>
      </c>
      <c r="C553" s="587" t="s">
        <v>875</v>
      </c>
      <c r="D553" s="587" t="s">
        <v>879</v>
      </c>
      <c r="E553" s="587"/>
      <c r="F553" s="587" t="str">
        <f t="shared" si="47"/>
        <v>Voiture (seul(e))</v>
      </c>
      <c r="G553" s="587">
        <f t="shared" si="48"/>
        <v>3</v>
      </c>
      <c r="H553" s="587"/>
      <c r="I553" s="587">
        <v>10</v>
      </c>
      <c r="J553" s="587">
        <f t="shared" si="49"/>
        <v>2.7600000000000002</v>
      </c>
      <c r="K553" s="587"/>
      <c r="L553" s="587"/>
      <c r="M553" s="587">
        <f t="shared" si="50"/>
        <v>0</v>
      </c>
      <c r="N553" s="587">
        <f t="shared" si="50"/>
        <v>3</v>
      </c>
      <c r="O553" s="587">
        <f t="shared" si="50"/>
        <v>0</v>
      </c>
      <c r="P553" s="587">
        <f t="shared" si="50"/>
        <v>0</v>
      </c>
    </row>
    <row r="554" spans="2:16">
      <c r="B554" s="587" t="s">
        <v>868</v>
      </c>
      <c r="C554" s="587" t="s">
        <v>869</v>
      </c>
      <c r="D554" s="587" t="s">
        <v>871</v>
      </c>
      <c r="E554" s="587"/>
      <c r="F554" s="587" t="str">
        <f t="shared" si="47"/>
        <v>Marche à pied (exclusivement sur tout le trajet)</v>
      </c>
      <c r="G554" s="587">
        <f t="shared" si="48"/>
        <v>7</v>
      </c>
      <c r="H554" s="587"/>
      <c r="I554" s="587">
        <v>7</v>
      </c>
      <c r="J554" s="587">
        <f t="shared" si="49"/>
        <v>0</v>
      </c>
      <c r="K554" s="587"/>
      <c r="L554" s="587"/>
      <c r="M554" s="587">
        <f t="shared" si="50"/>
        <v>7</v>
      </c>
      <c r="N554" s="587">
        <f t="shared" si="50"/>
        <v>0</v>
      </c>
      <c r="O554" s="587">
        <f t="shared" si="50"/>
        <v>0</v>
      </c>
      <c r="P554" s="587">
        <f t="shared" si="50"/>
        <v>0</v>
      </c>
    </row>
    <row r="555" spans="2:16">
      <c r="B555" s="587" t="s">
        <v>868</v>
      </c>
      <c r="C555" s="587" t="s">
        <v>869</v>
      </c>
      <c r="D555" s="587" t="s">
        <v>871</v>
      </c>
      <c r="E555" s="587"/>
      <c r="F555" s="587" t="str">
        <f t="shared" si="47"/>
        <v>Marche à pied (exclusivement sur tout le trajet)</v>
      </c>
      <c r="G555" s="587">
        <f t="shared" si="48"/>
        <v>7</v>
      </c>
      <c r="H555" s="587"/>
      <c r="I555" s="587">
        <v>12</v>
      </c>
      <c r="J555" s="587">
        <f t="shared" si="49"/>
        <v>0</v>
      </c>
      <c r="K555" s="587"/>
      <c r="L555" s="587"/>
      <c r="M555" s="587">
        <f t="shared" si="50"/>
        <v>7</v>
      </c>
      <c r="N555" s="587">
        <f t="shared" si="50"/>
        <v>0</v>
      </c>
      <c r="O555" s="587">
        <f t="shared" si="50"/>
        <v>0</v>
      </c>
      <c r="P555" s="587">
        <f t="shared" si="50"/>
        <v>0</v>
      </c>
    </row>
    <row r="556" spans="2:16">
      <c r="B556" s="587" t="s">
        <v>868</v>
      </c>
      <c r="C556" s="587" t="s">
        <v>869</v>
      </c>
      <c r="D556" s="587" t="s">
        <v>872</v>
      </c>
      <c r="E556" s="587"/>
      <c r="F556" s="587" t="str">
        <f t="shared" si="47"/>
        <v>Vélo personnel (y compris vélo à assistance électrique)</v>
      </c>
      <c r="G556" s="587">
        <f t="shared" si="48"/>
        <v>7</v>
      </c>
      <c r="H556" s="587"/>
      <c r="I556" s="587">
        <v>10</v>
      </c>
      <c r="J556" s="587">
        <f t="shared" si="49"/>
        <v>0</v>
      </c>
      <c r="K556" s="587"/>
      <c r="L556" s="587"/>
      <c r="M556" s="587">
        <f t="shared" si="50"/>
        <v>7</v>
      </c>
      <c r="N556" s="587">
        <f t="shared" si="50"/>
        <v>0</v>
      </c>
      <c r="O556" s="587">
        <f t="shared" si="50"/>
        <v>0</v>
      </c>
      <c r="P556" s="587">
        <f t="shared" si="50"/>
        <v>0</v>
      </c>
    </row>
    <row r="557" spans="2:16">
      <c r="B557" s="587" t="s">
        <v>868</v>
      </c>
      <c r="C557" s="587" t="s">
        <v>869</v>
      </c>
      <c r="D557" s="587" t="s">
        <v>873</v>
      </c>
      <c r="E557" s="587"/>
      <c r="F557" s="587" t="str">
        <f t="shared" si="47"/>
        <v>Tramway</v>
      </c>
      <c r="G557" s="587">
        <f t="shared" si="48"/>
        <v>1</v>
      </c>
      <c r="H557" s="587"/>
      <c r="I557" s="587">
        <v>17</v>
      </c>
      <c r="J557" s="587">
        <f t="shared" si="49"/>
        <v>4.8833333333333326E-2</v>
      </c>
      <c r="K557" s="587"/>
      <c r="L557" s="587"/>
      <c r="M557" s="587">
        <f t="shared" si="50"/>
        <v>1</v>
      </c>
      <c r="N557" s="587">
        <f t="shared" si="50"/>
        <v>0</v>
      </c>
      <c r="O557" s="587">
        <f t="shared" si="50"/>
        <v>0</v>
      </c>
      <c r="P557" s="587">
        <f t="shared" si="50"/>
        <v>0</v>
      </c>
    </row>
    <row r="558" spans="2:16">
      <c r="B558" s="587" t="s">
        <v>868</v>
      </c>
      <c r="C558" s="587" t="s">
        <v>869</v>
      </c>
      <c r="D558" s="587" t="s">
        <v>872</v>
      </c>
      <c r="E558" s="587"/>
      <c r="F558" s="587" t="str">
        <f t="shared" si="47"/>
        <v>Vélo personnel (y compris vélo à assistance électrique)</v>
      </c>
      <c r="G558" s="587">
        <f t="shared" si="48"/>
        <v>7</v>
      </c>
      <c r="H558" s="587"/>
      <c r="I558" s="587">
        <v>12</v>
      </c>
      <c r="J558" s="587">
        <f t="shared" si="49"/>
        <v>0</v>
      </c>
      <c r="K558" s="587"/>
      <c r="L558" s="587"/>
      <c r="M558" s="587">
        <f t="shared" si="50"/>
        <v>7</v>
      </c>
      <c r="N558" s="587">
        <f t="shared" si="50"/>
        <v>0</v>
      </c>
      <c r="O558" s="587">
        <f t="shared" si="50"/>
        <v>0</v>
      </c>
      <c r="P558" s="587">
        <f t="shared" si="50"/>
        <v>0</v>
      </c>
    </row>
    <row r="559" spans="2:16">
      <c r="B559" s="587" t="s">
        <v>868</v>
      </c>
      <c r="C559" s="587" t="s">
        <v>869</v>
      </c>
      <c r="D559" s="587" t="s">
        <v>871</v>
      </c>
      <c r="E559" s="587"/>
      <c r="F559" s="587" t="str">
        <f t="shared" si="47"/>
        <v>Marche à pied (exclusivement sur tout le trajet)</v>
      </c>
      <c r="G559" s="587">
        <f t="shared" si="48"/>
        <v>7</v>
      </c>
      <c r="H559" s="587"/>
      <c r="I559" s="587">
        <v>2</v>
      </c>
      <c r="J559" s="587">
        <f t="shared" si="49"/>
        <v>0</v>
      </c>
      <c r="K559" s="587"/>
      <c r="L559" s="587"/>
      <c r="M559" s="587">
        <f t="shared" si="50"/>
        <v>7</v>
      </c>
      <c r="N559" s="587">
        <f t="shared" si="50"/>
        <v>0</v>
      </c>
      <c r="O559" s="587">
        <f t="shared" si="50"/>
        <v>0</v>
      </c>
      <c r="P559" s="587">
        <f t="shared" si="50"/>
        <v>0</v>
      </c>
    </row>
    <row r="560" spans="2:16">
      <c r="B560" s="587" t="s">
        <v>868</v>
      </c>
      <c r="C560" s="587" t="s">
        <v>869</v>
      </c>
      <c r="D560" s="587" t="s">
        <v>871</v>
      </c>
      <c r="E560" s="587"/>
      <c r="F560" s="587" t="str">
        <f t="shared" ref="F560:F623" si="51">IF(D560="",E560,D560)</f>
        <v>Marche à pied (exclusivement sur tout le trajet)</v>
      </c>
      <c r="G560" s="587">
        <f t="shared" ref="G560:G623" si="52">IF(F560="Métro",1,IF(F560="Tramway",1,IF(F560="Vélo'v",7,IF(F560="Marche à pied (exclusivement sur tout le trajet)",7,IF(F560="Vélo personnel (y compris vélo à assistance électrique)",7,IF(F560="Trottinette, roller, skateboard,…",7,IF(F560="Marche à pied au-delà de 5 minutes",7,IF(F560="Voiture (seul(e))",3,IF(F560="Bus",2,IF(F560="Trottinette, roller, skateboard au-delà de 5 minutes",7,IF(F560="Covoiturage (passager(ère))",4,IF(F560="Trottinette, roller, skateboard,...",7,IF(F560="Vélo’v",7,IF(F560="Train (TER,TGV,...)",6,IF(F560="Deux roues motorisées (moto, scooter, mobylette,…)",5,IF(F560="Covoiturage (conducteur(trice))",4,IF(F560="Train (TER,..)",6,0)))))))))))))))))</f>
        <v>7</v>
      </c>
      <c r="H560" s="587"/>
      <c r="I560" s="587">
        <v>10</v>
      </c>
      <c r="J560" s="587">
        <f t="shared" ref="J560:J623" si="53">IF(G560=1,$C$6*($I$28*$K$6)/$J$6,IF(G560=2,$C$7*($I$28*$K$7)/$J$7,IF(G560=3,$C$8*$I$28*$K$8/$J$8,IF(G560=4,$C$9*$I$28*$K$9/$J$9,IF(G560=5,$C$10*$I$28*$K$10/$J$10,IF(G560=6,$C$11*$K$11*$I$28/$J$11,0))))))</f>
        <v>0</v>
      </c>
      <c r="K560" s="587"/>
      <c r="L560" s="587"/>
      <c r="M560" s="587">
        <f t="shared" si="50"/>
        <v>7</v>
      </c>
      <c r="N560" s="587">
        <f t="shared" si="50"/>
        <v>0</v>
      </c>
      <c r="O560" s="587">
        <f t="shared" si="50"/>
        <v>0</v>
      </c>
      <c r="P560" s="587">
        <f t="shared" si="50"/>
        <v>0</v>
      </c>
    </row>
    <row r="561" spans="2:16">
      <c r="B561" s="587" t="s">
        <v>868</v>
      </c>
      <c r="C561" s="587" t="s">
        <v>869</v>
      </c>
      <c r="D561" s="587" t="s">
        <v>872</v>
      </c>
      <c r="E561" s="587"/>
      <c r="F561" s="587" t="str">
        <f t="shared" si="51"/>
        <v>Vélo personnel (y compris vélo à assistance électrique)</v>
      </c>
      <c r="G561" s="587">
        <f t="shared" si="52"/>
        <v>7</v>
      </c>
      <c r="H561" s="587"/>
      <c r="I561" s="587">
        <v>5</v>
      </c>
      <c r="J561" s="587">
        <f t="shared" si="53"/>
        <v>0</v>
      </c>
      <c r="K561" s="587"/>
      <c r="L561" s="587"/>
      <c r="M561" s="587">
        <f t="shared" si="50"/>
        <v>7</v>
      </c>
      <c r="N561" s="587">
        <f t="shared" si="50"/>
        <v>0</v>
      </c>
      <c r="O561" s="587">
        <f t="shared" si="50"/>
        <v>0</v>
      </c>
      <c r="P561" s="587">
        <f t="shared" si="50"/>
        <v>0</v>
      </c>
    </row>
    <row r="562" spans="2:16">
      <c r="B562" s="587" t="s">
        <v>868</v>
      </c>
      <c r="C562" s="587" t="s">
        <v>869</v>
      </c>
      <c r="D562" s="587" t="s">
        <v>871</v>
      </c>
      <c r="E562" s="587"/>
      <c r="F562" s="587" t="str">
        <f t="shared" si="51"/>
        <v>Marche à pied (exclusivement sur tout le trajet)</v>
      </c>
      <c r="G562" s="587">
        <f t="shared" si="52"/>
        <v>7</v>
      </c>
      <c r="H562" s="587"/>
      <c r="I562" s="587">
        <v>10</v>
      </c>
      <c r="J562" s="587">
        <f t="shared" si="53"/>
        <v>0</v>
      </c>
      <c r="K562" s="587"/>
      <c r="L562" s="587"/>
      <c r="M562" s="587">
        <f t="shared" si="50"/>
        <v>7</v>
      </c>
      <c r="N562" s="587">
        <f t="shared" si="50"/>
        <v>0</v>
      </c>
      <c r="O562" s="587">
        <f t="shared" si="50"/>
        <v>0</v>
      </c>
      <c r="P562" s="587">
        <f t="shared" si="50"/>
        <v>0</v>
      </c>
    </row>
    <row r="563" spans="2:16">
      <c r="B563" s="587" t="s">
        <v>868</v>
      </c>
      <c r="C563" s="587" t="s">
        <v>869</v>
      </c>
      <c r="D563" s="587" t="s">
        <v>871</v>
      </c>
      <c r="E563" s="587"/>
      <c r="F563" s="587" t="str">
        <f t="shared" si="51"/>
        <v>Marche à pied (exclusivement sur tout le trajet)</v>
      </c>
      <c r="G563" s="587">
        <f t="shared" si="52"/>
        <v>7</v>
      </c>
      <c r="H563" s="587"/>
      <c r="I563" s="587">
        <v>10</v>
      </c>
      <c r="J563" s="587">
        <f t="shared" si="53"/>
        <v>0</v>
      </c>
      <c r="K563" s="587"/>
      <c r="L563" s="587"/>
      <c r="M563" s="587">
        <f t="shared" si="50"/>
        <v>7</v>
      </c>
      <c r="N563" s="587">
        <f t="shared" si="50"/>
        <v>0</v>
      </c>
      <c r="O563" s="587">
        <f t="shared" si="50"/>
        <v>0</v>
      </c>
      <c r="P563" s="587">
        <f t="shared" si="50"/>
        <v>0</v>
      </c>
    </row>
    <row r="564" spans="2:16">
      <c r="B564" s="587" t="s">
        <v>868</v>
      </c>
      <c r="C564" s="587" t="s">
        <v>869</v>
      </c>
      <c r="D564" s="587" t="s">
        <v>873</v>
      </c>
      <c r="E564" s="587"/>
      <c r="F564" s="587" t="str">
        <f t="shared" si="51"/>
        <v>Tramway</v>
      </c>
      <c r="G564" s="587">
        <f t="shared" si="52"/>
        <v>1</v>
      </c>
      <c r="H564" s="587"/>
      <c r="I564" s="587">
        <v>17</v>
      </c>
      <c r="J564" s="587">
        <f t="shared" si="53"/>
        <v>4.8833333333333326E-2</v>
      </c>
      <c r="K564" s="587"/>
      <c r="L564" s="587"/>
      <c r="M564" s="587">
        <f t="shared" si="50"/>
        <v>1</v>
      </c>
      <c r="N564" s="587">
        <f t="shared" si="50"/>
        <v>0</v>
      </c>
      <c r="O564" s="587">
        <f t="shared" si="50"/>
        <v>0</v>
      </c>
      <c r="P564" s="587">
        <f t="shared" si="50"/>
        <v>0</v>
      </c>
    </row>
    <row r="565" spans="2:16">
      <c r="B565" s="587" t="s">
        <v>868</v>
      </c>
      <c r="C565" s="587" t="s">
        <v>869</v>
      </c>
      <c r="D565" s="587" t="s">
        <v>872</v>
      </c>
      <c r="E565" s="587"/>
      <c r="F565" s="587" t="str">
        <f t="shared" si="51"/>
        <v>Vélo personnel (y compris vélo à assistance électrique)</v>
      </c>
      <c r="G565" s="587">
        <f t="shared" si="52"/>
        <v>7</v>
      </c>
      <c r="H565" s="587"/>
      <c r="I565" s="587">
        <v>6</v>
      </c>
      <c r="J565" s="587">
        <f t="shared" si="53"/>
        <v>0</v>
      </c>
      <c r="K565" s="587"/>
      <c r="L565" s="587"/>
      <c r="M565" s="587">
        <f t="shared" si="50"/>
        <v>7</v>
      </c>
      <c r="N565" s="587">
        <f t="shared" si="50"/>
        <v>0</v>
      </c>
      <c r="O565" s="587">
        <f t="shared" si="50"/>
        <v>0</v>
      </c>
      <c r="P565" s="587">
        <f t="shared" si="50"/>
        <v>0</v>
      </c>
    </row>
    <row r="566" spans="2:16">
      <c r="B566" s="587" t="s">
        <v>868</v>
      </c>
      <c r="C566" s="587" t="s">
        <v>869</v>
      </c>
      <c r="D566" s="587" t="s">
        <v>876</v>
      </c>
      <c r="E566" s="587"/>
      <c r="F566" s="587" t="str">
        <f t="shared" si="51"/>
        <v>Trottinette, roller, skateboard,...</v>
      </c>
      <c r="G566" s="587">
        <f t="shared" si="52"/>
        <v>7</v>
      </c>
      <c r="H566" s="587"/>
      <c r="I566" s="587">
        <v>15</v>
      </c>
      <c r="J566" s="587">
        <f t="shared" si="53"/>
        <v>0</v>
      </c>
      <c r="K566" s="587"/>
      <c r="L566" s="587"/>
      <c r="M566" s="587">
        <f t="shared" si="50"/>
        <v>7</v>
      </c>
      <c r="N566" s="587">
        <f t="shared" si="50"/>
        <v>0</v>
      </c>
      <c r="O566" s="587">
        <f t="shared" si="50"/>
        <v>0</v>
      </c>
      <c r="P566" s="587">
        <f t="shared" si="50"/>
        <v>0</v>
      </c>
    </row>
    <row r="567" spans="2:16">
      <c r="B567" s="587" t="s">
        <v>868</v>
      </c>
      <c r="C567" s="587" t="s">
        <v>882</v>
      </c>
      <c r="D567" s="587" t="s">
        <v>872</v>
      </c>
      <c r="E567" s="587"/>
      <c r="F567" s="587" t="str">
        <f t="shared" si="51"/>
        <v>Vélo personnel (y compris vélo à assistance électrique)</v>
      </c>
      <c r="G567" s="587">
        <f t="shared" si="52"/>
        <v>7</v>
      </c>
      <c r="H567" s="587"/>
      <c r="I567" s="587">
        <v>13</v>
      </c>
      <c r="J567" s="587">
        <f t="shared" si="53"/>
        <v>0</v>
      </c>
      <c r="K567" s="587"/>
      <c r="L567" s="587"/>
      <c r="M567" s="587">
        <f t="shared" si="50"/>
        <v>0</v>
      </c>
      <c r="N567" s="587">
        <f t="shared" si="50"/>
        <v>0</v>
      </c>
      <c r="O567" s="587">
        <f t="shared" si="50"/>
        <v>7</v>
      </c>
      <c r="P567" s="587">
        <f t="shared" si="50"/>
        <v>0</v>
      </c>
    </row>
    <row r="568" spans="2:16">
      <c r="B568" s="587" t="s">
        <v>868</v>
      </c>
      <c r="C568" s="587" t="s">
        <v>882</v>
      </c>
      <c r="D568" s="587" t="s">
        <v>873</v>
      </c>
      <c r="E568" s="587"/>
      <c r="F568" s="587" t="str">
        <f t="shared" si="51"/>
        <v>Tramway</v>
      </c>
      <c r="G568" s="587">
        <f t="shared" si="52"/>
        <v>1</v>
      </c>
      <c r="H568" s="587"/>
      <c r="I568" s="587">
        <v>45</v>
      </c>
      <c r="J568" s="587">
        <f t="shared" si="53"/>
        <v>4.8833333333333326E-2</v>
      </c>
      <c r="K568" s="587"/>
      <c r="L568" s="587"/>
      <c r="M568" s="587">
        <f t="shared" si="50"/>
        <v>0</v>
      </c>
      <c r="N568" s="587">
        <f t="shared" si="50"/>
        <v>0</v>
      </c>
      <c r="O568" s="587">
        <f t="shared" si="50"/>
        <v>1</v>
      </c>
      <c r="P568" s="587">
        <f t="shared" si="50"/>
        <v>0</v>
      </c>
    </row>
    <row r="569" spans="2:16">
      <c r="B569" s="587" t="s">
        <v>868</v>
      </c>
      <c r="C569" s="587" t="s">
        <v>869</v>
      </c>
      <c r="D569" s="587" t="s">
        <v>871</v>
      </c>
      <c r="E569" s="587"/>
      <c r="F569" s="587" t="str">
        <f t="shared" si="51"/>
        <v>Marche à pied (exclusivement sur tout le trajet)</v>
      </c>
      <c r="G569" s="587">
        <f t="shared" si="52"/>
        <v>7</v>
      </c>
      <c r="H569" s="587"/>
      <c r="I569" s="587">
        <v>5</v>
      </c>
      <c r="J569" s="587">
        <f t="shared" si="53"/>
        <v>0</v>
      </c>
      <c r="K569" s="587"/>
      <c r="L569" s="587"/>
      <c r="M569" s="587">
        <f t="shared" si="50"/>
        <v>7</v>
      </c>
      <c r="N569" s="587">
        <f t="shared" si="50"/>
        <v>0</v>
      </c>
      <c r="O569" s="587">
        <f t="shared" si="50"/>
        <v>0</v>
      </c>
      <c r="P569" s="587">
        <f t="shared" si="50"/>
        <v>0</v>
      </c>
    </row>
    <row r="570" spans="2:16">
      <c r="B570" s="587" t="s">
        <v>868</v>
      </c>
      <c r="C570" s="587" t="s">
        <v>869</v>
      </c>
      <c r="D570" s="587" t="s">
        <v>871</v>
      </c>
      <c r="E570" s="587"/>
      <c r="F570" s="587" t="str">
        <f t="shared" si="51"/>
        <v>Marche à pied (exclusivement sur tout le trajet)</v>
      </c>
      <c r="G570" s="587">
        <f t="shared" si="52"/>
        <v>7</v>
      </c>
      <c r="H570" s="587"/>
      <c r="I570" s="587">
        <v>10</v>
      </c>
      <c r="J570" s="587">
        <f t="shared" si="53"/>
        <v>0</v>
      </c>
      <c r="K570" s="587"/>
      <c r="L570" s="587"/>
      <c r="M570" s="587">
        <f t="shared" si="50"/>
        <v>7</v>
      </c>
      <c r="N570" s="587">
        <f t="shared" si="50"/>
        <v>0</v>
      </c>
      <c r="O570" s="587">
        <f t="shared" si="50"/>
        <v>0</v>
      </c>
      <c r="P570" s="587">
        <f t="shared" si="50"/>
        <v>0</v>
      </c>
    </row>
    <row r="571" spans="2:16">
      <c r="B571" s="587" t="s">
        <v>868</v>
      </c>
      <c r="C571" s="587" t="s">
        <v>869</v>
      </c>
      <c r="D571" s="587" t="s">
        <v>872</v>
      </c>
      <c r="E571" s="587"/>
      <c r="F571" s="587" t="str">
        <f t="shared" si="51"/>
        <v>Vélo personnel (y compris vélo à assistance électrique)</v>
      </c>
      <c r="G571" s="587">
        <f t="shared" si="52"/>
        <v>7</v>
      </c>
      <c r="H571" s="587"/>
      <c r="I571" s="587">
        <v>30</v>
      </c>
      <c r="J571" s="587">
        <f t="shared" si="53"/>
        <v>0</v>
      </c>
      <c r="K571" s="587"/>
      <c r="L571" s="587"/>
      <c r="M571" s="587">
        <f t="shared" si="50"/>
        <v>7</v>
      </c>
      <c r="N571" s="587">
        <f t="shared" si="50"/>
        <v>0</v>
      </c>
      <c r="O571" s="587">
        <f t="shared" si="50"/>
        <v>0</v>
      </c>
      <c r="P571" s="587">
        <f t="shared" si="50"/>
        <v>0</v>
      </c>
    </row>
    <row r="572" spans="2:16">
      <c r="B572" s="587" t="s">
        <v>868</v>
      </c>
      <c r="C572" s="587" t="s">
        <v>882</v>
      </c>
      <c r="D572" s="587"/>
      <c r="E572" s="587" t="s">
        <v>848</v>
      </c>
      <c r="F572" s="587" t="str">
        <f t="shared" si="51"/>
        <v>Bus</v>
      </c>
      <c r="G572" s="587">
        <f t="shared" si="52"/>
        <v>2</v>
      </c>
      <c r="H572" s="587"/>
      <c r="I572" s="587">
        <v>65</v>
      </c>
      <c r="J572" s="587">
        <f t="shared" si="53"/>
        <v>1.29</v>
      </c>
      <c r="K572" s="587"/>
      <c r="L572" s="587"/>
      <c r="M572" s="587">
        <f t="shared" si="50"/>
        <v>0</v>
      </c>
      <c r="N572" s="587">
        <f t="shared" si="50"/>
        <v>0</v>
      </c>
      <c r="O572" s="587">
        <f t="shared" si="50"/>
        <v>2</v>
      </c>
      <c r="P572" s="587">
        <f t="shared" si="50"/>
        <v>0</v>
      </c>
    </row>
    <row r="573" spans="2:16">
      <c r="B573" s="587" t="s">
        <v>868</v>
      </c>
      <c r="C573" s="587" t="s">
        <v>869</v>
      </c>
      <c r="D573" s="587" t="s">
        <v>872</v>
      </c>
      <c r="E573" s="587"/>
      <c r="F573" s="587" t="str">
        <f t="shared" si="51"/>
        <v>Vélo personnel (y compris vélo à assistance électrique)</v>
      </c>
      <c r="G573" s="587">
        <f t="shared" si="52"/>
        <v>7</v>
      </c>
      <c r="H573" s="587"/>
      <c r="I573" s="587">
        <v>13</v>
      </c>
      <c r="J573" s="587">
        <f t="shared" si="53"/>
        <v>0</v>
      </c>
      <c r="K573" s="587"/>
      <c r="L573" s="587"/>
      <c r="M573" s="587">
        <f t="shared" si="50"/>
        <v>7</v>
      </c>
      <c r="N573" s="587">
        <f t="shared" si="50"/>
        <v>0</v>
      </c>
      <c r="O573" s="587">
        <f t="shared" si="50"/>
        <v>0</v>
      </c>
      <c r="P573" s="587">
        <f t="shared" si="50"/>
        <v>0</v>
      </c>
    </row>
    <row r="574" spans="2:16">
      <c r="B574" s="587" t="s">
        <v>868</v>
      </c>
      <c r="C574" s="587" t="s">
        <v>869</v>
      </c>
      <c r="D574" s="587" t="s">
        <v>848</v>
      </c>
      <c r="E574" s="587"/>
      <c r="F574" s="587" t="str">
        <f t="shared" si="51"/>
        <v>Bus</v>
      </c>
      <c r="G574" s="587">
        <f t="shared" si="52"/>
        <v>2</v>
      </c>
      <c r="H574" s="587"/>
      <c r="I574" s="587">
        <v>20</v>
      </c>
      <c r="J574" s="587">
        <f t="shared" si="53"/>
        <v>1.29</v>
      </c>
      <c r="K574" s="587"/>
      <c r="L574" s="587"/>
      <c r="M574" s="587">
        <f t="shared" si="50"/>
        <v>2</v>
      </c>
      <c r="N574" s="587">
        <f t="shared" si="50"/>
        <v>0</v>
      </c>
      <c r="O574" s="587">
        <f t="shared" si="50"/>
        <v>0</v>
      </c>
      <c r="P574" s="587">
        <f t="shared" si="50"/>
        <v>0</v>
      </c>
    </row>
    <row r="575" spans="2:16">
      <c r="B575" s="587" t="s">
        <v>868</v>
      </c>
      <c r="C575" s="587" t="s">
        <v>882</v>
      </c>
      <c r="D575" s="587"/>
      <c r="E575" s="587" t="s">
        <v>870</v>
      </c>
      <c r="F575" s="587" t="str">
        <f t="shared" si="51"/>
        <v>Métro</v>
      </c>
      <c r="G575" s="587">
        <f t="shared" si="52"/>
        <v>1</v>
      </c>
      <c r="H575" s="587"/>
      <c r="I575" s="587">
        <v>20</v>
      </c>
      <c r="J575" s="587">
        <f t="shared" si="53"/>
        <v>4.8833333333333326E-2</v>
      </c>
      <c r="K575" s="587"/>
      <c r="L575" s="587"/>
      <c r="M575" s="587">
        <f t="shared" si="50"/>
        <v>0</v>
      </c>
      <c r="N575" s="587">
        <f t="shared" si="50"/>
        <v>0</v>
      </c>
      <c r="O575" s="587">
        <f t="shared" si="50"/>
        <v>1</v>
      </c>
      <c r="P575" s="587">
        <f t="shared" si="50"/>
        <v>0</v>
      </c>
    </row>
    <row r="576" spans="2:16">
      <c r="B576" s="587" t="s">
        <v>868</v>
      </c>
      <c r="C576" s="587" t="s">
        <v>882</v>
      </c>
      <c r="D576" s="587" t="s">
        <v>879</v>
      </c>
      <c r="E576" s="587"/>
      <c r="F576" s="587" t="str">
        <f t="shared" si="51"/>
        <v>Voiture (seul(e))</v>
      </c>
      <c r="G576" s="587">
        <f t="shared" si="52"/>
        <v>3</v>
      </c>
      <c r="H576" s="587"/>
      <c r="I576" s="587">
        <v>15</v>
      </c>
      <c r="J576" s="587">
        <f t="shared" si="53"/>
        <v>2.7600000000000002</v>
      </c>
      <c r="K576" s="587"/>
      <c r="L576" s="587"/>
      <c r="M576" s="587">
        <f t="shared" si="50"/>
        <v>0</v>
      </c>
      <c r="N576" s="587">
        <f t="shared" si="50"/>
        <v>0</v>
      </c>
      <c r="O576" s="587">
        <f t="shared" si="50"/>
        <v>3</v>
      </c>
      <c r="P576" s="587">
        <f t="shared" si="50"/>
        <v>0</v>
      </c>
    </row>
    <row r="577" spans="2:16">
      <c r="B577" s="587" t="s">
        <v>868</v>
      </c>
      <c r="C577" s="587" t="s">
        <v>882</v>
      </c>
      <c r="D577" s="587" t="s">
        <v>872</v>
      </c>
      <c r="E577" s="587"/>
      <c r="F577" s="587" t="str">
        <f t="shared" si="51"/>
        <v>Vélo personnel (y compris vélo à assistance électrique)</v>
      </c>
      <c r="G577" s="587">
        <f t="shared" si="52"/>
        <v>7</v>
      </c>
      <c r="H577" s="587"/>
      <c r="I577" s="587">
        <v>10</v>
      </c>
      <c r="J577" s="587">
        <f t="shared" si="53"/>
        <v>0</v>
      </c>
      <c r="K577" s="587"/>
      <c r="L577" s="587"/>
      <c r="M577" s="587">
        <f t="shared" si="50"/>
        <v>0</v>
      </c>
      <c r="N577" s="587">
        <f t="shared" si="50"/>
        <v>0</v>
      </c>
      <c r="O577" s="587">
        <f t="shared" si="50"/>
        <v>7</v>
      </c>
      <c r="P577" s="587">
        <f t="shared" si="50"/>
        <v>0</v>
      </c>
    </row>
    <row r="578" spans="2:16">
      <c r="B578" s="587" t="s">
        <v>868</v>
      </c>
      <c r="C578" s="587" t="s">
        <v>882</v>
      </c>
      <c r="D578" s="587" t="s">
        <v>885</v>
      </c>
      <c r="E578" s="587"/>
      <c r="F578" s="587" t="str">
        <f t="shared" si="51"/>
        <v>Covoiturage (conducteur(trice))</v>
      </c>
      <c r="G578" s="587">
        <f t="shared" si="52"/>
        <v>4</v>
      </c>
      <c r="H578" s="587"/>
      <c r="I578" s="587">
        <v>75</v>
      </c>
      <c r="J578" s="587">
        <f t="shared" si="53"/>
        <v>0.69000000000000006</v>
      </c>
      <c r="K578" s="587"/>
      <c r="L578" s="587"/>
      <c r="M578" s="587">
        <f t="shared" si="50"/>
        <v>0</v>
      </c>
      <c r="N578" s="587">
        <f t="shared" si="50"/>
        <v>0</v>
      </c>
      <c r="O578" s="587">
        <f t="shared" si="50"/>
        <v>4</v>
      </c>
      <c r="P578" s="587">
        <f t="shared" si="50"/>
        <v>0</v>
      </c>
    </row>
    <row r="579" spans="2:16">
      <c r="B579" s="587" t="s">
        <v>868</v>
      </c>
      <c r="C579" s="587" t="s">
        <v>882</v>
      </c>
      <c r="D579" s="587" t="s">
        <v>879</v>
      </c>
      <c r="E579" s="587"/>
      <c r="F579" s="587" t="str">
        <f t="shared" si="51"/>
        <v>Voiture (seul(e))</v>
      </c>
      <c r="G579" s="587">
        <f t="shared" si="52"/>
        <v>3</v>
      </c>
      <c r="H579" s="587"/>
      <c r="I579" s="587">
        <v>10</v>
      </c>
      <c r="J579" s="587">
        <f t="shared" si="53"/>
        <v>2.7600000000000002</v>
      </c>
      <c r="K579" s="587"/>
      <c r="L579" s="587"/>
      <c r="M579" s="587">
        <f t="shared" si="50"/>
        <v>0</v>
      </c>
      <c r="N579" s="587">
        <f t="shared" si="50"/>
        <v>0</v>
      </c>
      <c r="O579" s="587">
        <f t="shared" si="50"/>
        <v>3</v>
      </c>
      <c r="P579" s="587">
        <f t="shared" si="50"/>
        <v>0</v>
      </c>
    </row>
    <row r="580" spans="2:16">
      <c r="B580" s="587" t="s">
        <v>868</v>
      </c>
      <c r="C580" s="587" t="s">
        <v>869</v>
      </c>
      <c r="D580" s="587" t="s">
        <v>871</v>
      </c>
      <c r="E580" s="587"/>
      <c r="F580" s="587" t="str">
        <f t="shared" si="51"/>
        <v>Marche à pied (exclusivement sur tout le trajet)</v>
      </c>
      <c r="G580" s="587">
        <f t="shared" si="52"/>
        <v>7</v>
      </c>
      <c r="H580" s="587"/>
      <c r="I580" s="587">
        <v>10</v>
      </c>
      <c r="J580" s="587">
        <f t="shared" si="53"/>
        <v>0</v>
      </c>
      <c r="K580" s="587"/>
      <c r="L580" s="587"/>
      <c r="M580" s="587">
        <f t="shared" si="50"/>
        <v>7</v>
      </c>
      <c r="N580" s="587">
        <f t="shared" si="50"/>
        <v>0</v>
      </c>
      <c r="O580" s="587">
        <f t="shared" si="50"/>
        <v>0</v>
      </c>
      <c r="P580" s="587">
        <f t="shared" si="50"/>
        <v>0</v>
      </c>
    </row>
    <row r="581" spans="2:16">
      <c r="B581" s="587" t="s">
        <v>868</v>
      </c>
      <c r="C581" s="587" t="s">
        <v>875</v>
      </c>
      <c r="D581" s="587" t="s">
        <v>879</v>
      </c>
      <c r="E581" s="587"/>
      <c r="F581" s="587" t="str">
        <f t="shared" si="51"/>
        <v>Voiture (seul(e))</v>
      </c>
      <c r="G581" s="587">
        <f t="shared" si="52"/>
        <v>3</v>
      </c>
      <c r="H581" s="587"/>
      <c r="I581" s="587">
        <v>30</v>
      </c>
      <c r="J581" s="587">
        <f t="shared" si="53"/>
        <v>2.7600000000000002</v>
      </c>
      <c r="K581" s="587"/>
      <c r="L581" s="587"/>
      <c r="M581" s="587">
        <f t="shared" si="50"/>
        <v>0</v>
      </c>
      <c r="N581" s="587">
        <f t="shared" si="50"/>
        <v>3</v>
      </c>
      <c r="O581" s="587">
        <f t="shared" si="50"/>
        <v>0</v>
      </c>
      <c r="P581" s="587">
        <f t="shared" si="50"/>
        <v>0</v>
      </c>
    </row>
    <row r="582" spans="2:16">
      <c r="B582" s="587" t="s">
        <v>868</v>
      </c>
      <c r="C582" s="587" t="s">
        <v>882</v>
      </c>
      <c r="D582" s="587" t="s">
        <v>848</v>
      </c>
      <c r="E582" s="587"/>
      <c r="F582" s="587" t="str">
        <f t="shared" si="51"/>
        <v>Bus</v>
      </c>
      <c r="G582" s="587">
        <f t="shared" si="52"/>
        <v>2</v>
      </c>
      <c r="H582" s="587"/>
      <c r="I582" s="587">
        <v>30</v>
      </c>
      <c r="J582" s="587">
        <f t="shared" si="53"/>
        <v>1.29</v>
      </c>
      <c r="K582" s="587"/>
      <c r="L582" s="587"/>
      <c r="M582" s="587">
        <f t="shared" si="50"/>
        <v>0</v>
      </c>
      <c r="N582" s="587">
        <f t="shared" si="50"/>
        <v>0</v>
      </c>
      <c r="O582" s="587">
        <f t="shared" si="50"/>
        <v>2</v>
      </c>
      <c r="P582" s="587">
        <f t="shared" si="50"/>
        <v>0</v>
      </c>
    </row>
    <row r="583" spans="2:16">
      <c r="B583" s="587" t="s">
        <v>868</v>
      </c>
      <c r="C583" s="587" t="s">
        <v>882</v>
      </c>
      <c r="D583" s="587" t="s">
        <v>873</v>
      </c>
      <c r="E583" s="587"/>
      <c r="F583" s="587" t="str">
        <f t="shared" si="51"/>
        <v>Tramway</v>
      </c>
      <c r="G583" s="587">
        <f t="shared" si="52"/>
        <v>1</v>
      </c>
      <c r="H583" s="587"/>
      <c r="I583" s="587">
        <v>12</v>
      </c>
      <c r="J583" s="587">
        <f t="shared" si="53"/>
        <v>4.8833333333333326E-2</v>
      </c>
      <c r="K583" s="587"/>
      <c r="L583" s="587"/>
      <c r="M583" s="587">
        <f t="shared" si="50"/>
        <v>0</v>
      </c>
      <c r="N583" s="587">
        <f t="shared" si="50"/>
        <v>0</v>
      </c>
      <c r="O583" s="587">
        <f t="shared" si="50"/>
        <v>1</v>
      </c>
      <c r="P583" s="587">
        <f t="shared" si="50"/>
        <v>0</v>
      </c>
    </row>
    <row r="584" spans="2:16">
      <c r="B584" s="587" t="s">
        <v>868</v>
      </c>
      <c r="C584" s="587" t="s">
        <v>882</v>
      </c>
      <c r="D584" s="587"/>
      <c r="E584" s="587" t="s">
        <v>872</v>
      </c>
      <c r="F584" s="587" t="str">
        <f t="shared" si="51"/>
        <v>Vélo personnel (y compris vélo à assistance électrique)</v>
      </c>
      <c r="G584" s="587">
        <f t="shared" si="52"/>
        <v>7</v>
      </c>
      <c r="H584" s="587"/>
      <c r="I584" s="587">
        <v>5</v>
      </c>
      <c r="J584" s="587">
        <f t="shared" si="53"/>
        <v>0</v>
      </c>
      <c r="K584" s="587"/>
      <c r="L584" s="587"/>
      <c r="M584" s="587">
        <f t="shared" si="50"/>
        <v>0</v>
      </c>
      <c r="N584" s="587">
        <f t="shared" si="50"/>
        <v>0</v>
      </c>
      <c r="O584" s="587">
        <f t="shared" si="50"/>
        <v>7</v>
      </c>
      <c r="P584" s="587">
        <f t="shared" si="50"/>
        <v>0</v>
      </c>
    </row>
    <row r="585" spans="2:16">
      <c r="B585" s="587" t="s">
        <v>868</v>
      </c>
      <c r="C585" s="587" t="s">
        <v>869</v>
      </c>
      <c r="D585" s="587" t="s">
        <v>872</v>
      </c>
      <c r="E585" s="587"/>
      <c r="F585" s="587" t="str">
        <f t="shared" si="51"/>
        <v>Vélo personnel (y compris vélo à assistance électrique)</v>
      </c>
      <c r="G585" s="587">
        <f t="shared" si="52"/>
        <v>7</v>
      </c>
      <c r="H585" s="587"/>
      <c r="I585" s="587">
        <v>5</v>
      </c>
      <c r="J585" s="587">
        <f t="shared" si="53"/>
        <v>0</v>
      </c>
      <c r="K585" s="587"/>
      <c r="L585" s="587"/>
      <c r="M585" s="587">
        <f t="shared" si="50"/>
        <v>7</v>
      </c>
      <c r="N585" s="587">
        <f t="shared" si="50"/>
        <v>0</v>
      </c>
      <c r="O585" s="587">
        <f t="shared" si="50"/>
        <v>0</v>
      </c>
      <c r="P585" s="587">
        <f t="shared" si="50"/>
        <v>0</v>
      </c>
    </row>
    <row r="586" spans="2:16">
      <c r="B586" s="587" t="s">
        <v>868</v>
      </c>
      <c r="C586" s="587" t="s">
        <v>882</v>
      </c>
      <c r="D586" s="587"/>
      <c r="E586" s="587" t="s">
        <v>848</v>
      </c>
      <c r="F586" s="587" t="str">
        <f t="shared" si="51"/>
        <v>Bus</v>
      </c>
      <c r="G586" s="587">
        <f t="shared" si="52"/>
        <v>2</v>
      </c>
      <c r="H586" s="587"/>
      <c r="I586" s="587">
        <v>35</v>
      </c>
      <c r="J586" s="587">
        <f t="shared" si="53"/>
        <v>1.29</v>
      </c>
      <c r="K586" s="587"/>
      <c r="L586" s="587"/>
      <c r="M586" s="587">
        <f t="shared" si="50"/>
        <v>0</v>
      </c>
      <c r="N586" s="587">
        <f t="shared" si="50"/>
        <v>0</v>
      </c>
      <c r="O586" s="587">
        <f t="shared" si="50"/>
        <v>2</v>
      </c>
      <c r="P586" s="587">
        <f t="shared" si="50"/>
        <v>0</v>
      </c>
    </row>
    <row r="587" spans="2:16">
      <c r="B587" s="587" t="s">
        <v>868</v>
      </c>
      <c r="C587" s="587" t="s">
        <v>869</v>
      </c>
      <c r="D587" s="587" t="s">
        <v>872</v>
      </c>
      <c r="E587" s="587"/>
      <c r="F587" s="587" t="str">
        <f t="shared" si="51"/>
        <v>Vélo personnel (y compris vélo à assistance électrique)</v>
      </c>
      <c r="G587" s="587">
        <f t="shared" si="52"/>
        <v>7</v>
      </c>
      <c r="H587" s="587"/>
      <c r="I587" s="587">
        <v>20</v>
      </c>
      <c r="J587" s="587">
        <f t="shared" si="53"/>
        <v>0</v>
      </c>
      <c r="K587" s="587"/>
      <c r="L587" s="587"/>
      <c r="M587" s="587">
        <f t="shared" si="50"/>
        <v>7</v>
      </c>
      <c r="N587" s="587">
        <f t="shared" si="50"/>
        <v>0</v>
      </c>
      <c r="O587" s="587">
        <f t="shared" si="50"/>
        <v>0</v>
      </c>
      <c r="P587" s="587">
        <f t="shared" si="50"/>
        <v>0</v>
      </c>
    </row>
    <row r="588" spans="2:16">
      <c r="B588" s="587" t="s">
        <v>868</v>
      </c>
      <c r="C588" s="587" t="s">
        <v>869</v>
      </c>
      <c r="D588" s="587" t="s">
        <v>884</v>
      </c>
      <c r="E588" s="587"/>
      <c r="F588" s="587" t="str">
        <f t="shared" si="51"/>
        <v>Deux roues motorisées (moto, scooter, mobylette,…)</v>
      </c>
      <c r="G588" s="587">
        <f t="shared" si="52"/>
        <v>5</v>
      </c>
      <c r="H588" s="587"/>
      <c r="I588" s="587">
        <v>20</v>
      </c>
      <c r="J588" s="587">
        <f t="shared" si="53"/>
        <v>1.288</v>
      </c>
      <c r="K588" s="587"/>
      <c r="L588" s="587"/>
      <c r="M588" s="587">
        <f t="shared" si="50"/>
        <v>5</v>
      </c>
      <c r="N588" s="587">
        <f t="shared" si="50"/>
        <v>0</v>
      </c>
      <c r="O588" s="587">
        <f t="shared" si="50"/>
        <v>0</v>
      </c>
      <c r="P588" s="587">
        <f t="shared" si="50"/>
        <v>0</v>
      </c>
    </row>
    <row r="589" spans="2:16">
      <c r="B589" s="587" t="s">
        <v>868</v>
      </c>
      <c r="C589" s="587" t="s">
        <v>869</v>
      </c>
      <c r="D589" s="587" t="s">
        <v>877</v>
      </c>
      <c r="E589" s="587"/>
      <c r="F589" s="587" t="str">
        <f t="shared" si="51"/>
        <v>Vélo’v</v>
      </c>
      <c r="G589" s="587">
        <f t="shared" si="52"/>
        <v>7</v>
      </c>
      <c r="H589" s="587"/>
      <c r="I589" s="587">
        <v>20</v>
      </c>
      <c r="J589" s="587">
        <f t="shared" si="53"/>
        <v>0</v>
      </c>
      <c r="K589" s="587"/>
      <c r="L589" s="587"/>
      <c r="M589" s="587">
        <f t="shared" si="50"/>
        <v>7</v>
      </c>
      <c r="N589" s="587">
        <f t="shared" si="50"/>
        <v>0</v>
      </c>
      <c r="O589" s="587">
        <f t="shared" si="50"/>
        <v>0</v>
      </c>
      <c r="P589" s="587">
        <f t="shared" si="50"/>
        <v>0</v>
      </c>
    </row>
    <row r="590" spans="2:16">
      <c r="B590" s="587" t="s">
        <v>868</v>
      </c>
      <c r="C590" s="587" t="s">
        <v>869</v>
      </c>
      <c r="D590" s="587" t="s">
        <v>871</v>
      </c>
      <c r="E590" s="587"/>
      <c r="F590" s="587" t="str">
        <f t="shared" si="51"/>
        <v>Marche à pied (exclusivement sur tout le trajet)</v>
      </c>
      <c r="G590" s="587">
        <f t="shared" si="52"/>
        <v>7</v>
      </c>
      <c r="H590" s="587"/>
      <c r="I590" s="587">
        <v>10</v>
      </c>
      <c r="J590" s="587">
        <f t="shared" si="53"/>
        <v>0</v>
      </c>
      <c r="K590" s="587"/>
      <c r="L590" s="587"/>
      <c r="M590" s="587">
        <f t="shared" si="50"/>
        <v>7</v>
      </c>
      <c r="N590" s="587">
        <f t="shared" si="50"/>
        <v>0</v>
      </c>
      <c r="O590" s="587">
        <f t="shared" si="50"/>
        <v>0</v>
      </c>
      <c r="P590" s="587">
        <f t="shared" si="50"/>
        <v>0</v>
      </c>
    </row>
    <row r="591" spans="2:16">
      <c r="B591" s="587" t="s">
        <v>868</v>
      </c>
      <c r="C591" s="587" t="s">
        <v>869</v>
      </c>
      <c r="D591" s="587" t="s">
        <v>872</v>
      </c>
      <c r="E591" s="587"/>
      <c r="F591" s="587" t="str">
        <f t="shared" si="51"/>
        <v>Vélo personnel (y compris vélo à assistance électrique)</v>
      </c>
      <c r="G591" s="587">
        <f t="shared" si="52"/>
        <v>7</v>
      </c>
      <c r="H591" s="587"/>
      <c r="I591" s="587">
        <v>8</v>
      </c>
      <c r="J591" s="587">
        <f t="shared" si="53"/>
        <v>0</v>
      </c>
      <c r="K591" s="587"/>
      <c r="L591" s="587"/>
      <c r="M591" s="587">
        <f t="shared" si="50"/>
        <v>7</v>
      </c>
      <c r="N591" s="587">
        <f t="shared" si="50"/>
        <v>0</v>
      </c>
      <c r="O591" s="587">
        <f t="shared" si="50"/>
        <v>0</v>
      </c>
      <c r="P591" s="587">
        <f t="shared" si="50"/>
        <v>0</v>
      </c>
    </row>
    <row r="592" spans="2:16">
      <c r="B592" s="587" t="s">
        <v>868</v>
      </c>
      <c r="C592" s="587" t="s">
        <v>869</v>
      </c>
      <c r="D592" s="587" t="s">
        <v>872</v>
      </c>
      <c r="E592" s="587"/>
      <c r="F592" s="587" t="str">
        <f t="shared" si="51"/>
        <v>Vélo personnel (y compris vélo à assistance électrique)</v>
      </c>
      <c r="G592" s="587">
        <f t="shared" si="52"/>
        <v>7</v>
      </c>
      <c r="H592" s="587"/>
      <c r="I592" s="587">
        <v>10</v>
      </c>
      <c r="J592" s="587">
        <f t="shared" si="53"/>
        <v>0</v>
      </c>
      <c r="K592" s="587"/>
      <c r="L592" s="587"/>
      <c r="M592" s="587">
        <f t="shared" si="50"/>
        <v>7</v>
      </c>
      <c r="N592" s="587">
        <f t="shared" si="50"/>
        <v>0</v>
      </c>
      <c r="O592" s="587">
        <f t="shared" si="50"/>
        <v>0</v>
      </c>
      <c r="P592" s="587">
        <f t="shared" si="50"/>
        <v>0</v>
      </c>
    </row>
    <row r="593" spans="2:16">
      <c r="B593" s="587" t="s">
        <v>868</v>
      </c>
      <c r="C593" s="587" t="s">
        <v>869</v>
      </c>
      <c r="D593" s="587" t="s">
        <v>871</v>
      </c>
      <c r="E593" s="587"/>
      <c r="F593" s="587" t="str">
        <f t="shared" si="51"/>
        <v>Marche à pied (exclusivement sur tout le trajet)</v>
      </c>
      <c r="G593" s="587">
        <f t="shared" si="52"/>
        <v>7</v>
      </c>
      <c r="H593" s="587"/>
      <c r="I593" s="587">
        <v>10</v>
      </c>
      <c r="J593" s="587">
        <f t="shared" si="53"/>
        <v>0</v>
      </c>
      <c r="K593" s="587"/>
      <c r="L593" s="587"/>
      <c r="M593" s="587">
        <f t="shared" si="50"/>
        <v>7</v>
      </c>
      <c r="N593" s="587">
        <f t="shared" si="50"/>
        <v>0</v>
      </c>
      <c r="O593" s="587">
        <f t="shared" si="50"/>
        <v>0</v>
      </c>
      <c r="P593" s="587">
        <f t="shared" si="50"/>
        <v>0</v>
      </c>
    </row>
    <row r="594" spans="2:16">
      <c r="B594" s="587" t="s">
        <v>868</v>
      </c>
      <c r="C594" s="587" t="s">
        <v>869</v>
      </c>
      <c r="D594" s="587" t="s">
        <v>871</v>
      </c>
      <c r="E594" s="587"/>
      <c r="F594" s="587" t="str">
        <f t="shared" si="51"/>
        <v>Marche à pied (exclusivement sur tout le trajet)</v>
      </c>
      <c r="G594" s="587">
        <f t="shared" si="52"/>
        <v>7</v>
      </c>
      <c r="H594" s="587"/>
      <c r="I594" s="587">
        <v>3</v>
      </c>
      <c r="J594" s="587">
        <f t="shared" si="53"/>
        <v>0</v>
      </c>
      <c r="K594" s="587"/>
      <c r="L594" s="587"/>
      <c r="M594" s="587">
        <f t="shared" si="50"/>
        <v>7</v>
      </c>
      <c r="N594" s="587">
        <f t="shared" si="50"/>
        <v>0</v>
      </c>
      <c r="O594" s="587">
        <f t="shared" si="50"/>
        <v>0</v>
      </c>
      <c r="P594" s="587">
        <f t="shared" si="50"/>
        <v>0</v>
      </c>
    </row>
    <row r="595" spans="2:16">
      <c r="B595" s="587" t="s">
        <v>868</v>
      </c>
      <c r="C595" s="587" t="s">
        <v>869</v>
      </c>
      <c r="D595" s="587"/>
      <c r="E595" s="587" t="s">
        <v>878</v>
      </c>
      <c r="F595" s="587" t="str">
        <f t="shared" si="51"/>
        <v>Marche à pied au-delà de 5 minutes</v>
      </c>
      <c r="G595" s="587">
        <f t="shared" si="52"/>
        <v>7</v>
      </c>
      <c r="H595" s="587"/>
      <c r="I595" s="587">
        <v>7</v>
      </c>
      <c r="J595" s="587">
        <f t="shared" si="53"/>
        <v>0</v>
      </c>
      <c r="K595" s="587"/>
      <c r="L595" s="587"/>
      <c r="M595" s="587">
        <f t="shared" si="50"/>
        <v>7</v>
      </c>
      <c r="N595" s="587">
        <f t="shared" si="50"/>
        <v>0</v>
      </c>
      <c r="O595" s="587">
        <f t="shared" si="50"/>
        <v>0</v>
      </c>
      <c r="P595" s="587">
        <f t="shared" si="50"/>
        <v>0</v>
      </c>
    </row>
    <row r="596" spans="2:16">
      <c r="B596" s="587" t="s">
        <v>868</v>
      </c>
      <c r="C596" s="587" t="s">
        <v>882</v>
      </c>
      <c r="D596" s="587" t="s">
        <v>879</v>
      </c>
      <c r="E596" s="587"/>
      <c r="F596" s="587" t="str">
        <f t="shared" si="51"/>
        <v>Voiture (seul(e))</v>
      </c>
      <c r="G596" s="587">
        <f t="shared" si="52"/>
        <v>3</v>
      </c>
      <c r="H596" s="587"/>
      <c r="I596" s="587">
        <v>45</v>
      </c>
      <c r="J596" s="587">
        <f t="shared" si="53"/>
        <v>2.7600000000000002</v>
      </c>
      <c r="K596" s="587"/>
      <c r="L596" s="587"/>
      <c r="M596" s="587">
        <f t="shared" si="50"/>
        <v>0</v>
      </c>
      <c r="N596" s="587">
        <f t="shared" si="50"/>
        <v>0</v>
      </c>
      <c r="O596" s="587">
        <f t="shared" si="50"/>
        <v>3</v>
      </c>
      <c r="P596" s="587">
        <f t="shared" si="50"/>
        <v>0</v>
      </c>
    </row>
    <row r="597" spans="2:16">
      <c r="B597" s="587" t="s">
        <v>868</v>
      </c>
      <c r="C597" s="587" t="s">
        <v>882</v>
      </c>
      <c r="D597" s="587" t="s">
        <v>879</v>
      </c>
      <c r="E597" s="587"/>
      <c r="F597" s="587" t="str">
        <f t="shared" si="51"/>
        <v>Voiture (seul(e))</v>
      </c>
      <c r="G597" s="587">
        <f t="shared" si="52"/>
        <v>3</v>
      </c>
      <c r="H597" s="587"/>
      <c r="I597" s="587">
        <v>15</v>
      </c>
      <c r="J597" s="587">
        <f t="shared" si="53"/>
        <v>2.7600000000000002</v>
      </c>
      <c r="K597" s="587"/>
      <c r="L597" s="587"/>
      <c r="M597" s="587">
        <f t="shared" si="50"/>
        <v>0</v>
      </c>
      <c r="N597" s="587">
        <f t="shared" si="50"/>
        <v>0</v>
      </c>
      <c r="O597" s="587">
        <f t="shared" si="50"/>
        <v>3</v>
      </c>
      <c r="P597" s="587">
        <f t="shared" si="50"/>
        <v>0</v>
      </c>
    </row>
    <row r="598" spans="2:16">
      <c r="B598" s="587" t="s">
        <v>868</v>
      </c>
      <c r="C598" s="587" t="s">
        <v>869</v>
      </c>
      <c r="D598" s="587" t="s">
        <v>873</v>
      </c>
      <c r="E598" s="587"/>
      <c r="F598" s="587" t="str">
        <f t="shared" si="51"/>
        <v>Tramway</v>
      </c>
      <c r="G598" s="587">
        <f t="shared" si="52"/>
        <v>1</v>
      </c>
      <c r="H598" s="587"/>
      <c r="I598" s="587">
        <v>25</v>
      </c>
      <c r="J598" s="587">
        <f t="shared" si="53"/>
        <v>4.8833333333333326E-2</v>
      </c>
      <c r="K598" s="587"/>
      <c r="L598" s="587"/>
      <c r="M598" s="587">
        <f t="shared" si="50"/>
        <v>1</v>
      </c>
      <c r="N598" s="587">
        <f t="shared" si="50"/>
        <v>0</v>
      </c>
      <c r="O598" s="587">
        <f t="shared" si="50"/>
        <v>0</v>
      </c>
      <c r="P598" s="587">
        <f t="shared" si="50"/>
        <v>0</v>
      </c>
    </row>
    <row r="599" spans="2:16">
      <c r="B599" s="587" t="s">
        <v>868</v>
      </c>
      <c r="C599" s="587" t="s">
        <v>875</v>
      </c>
      <c r="D599" s="587" t="s">
        <v>879</v>
      </c>
      <c r="E599" s="587"/>
      <c r="F599" s="587" t="str">
        <f t="shared" si="51"/>
        <v>Voiture (seul(e))</v>
      </c>
      <c r="G599" s="587">
        <f t="shared" si="52"/>
        <v>3</v>
      </c>
      <c r="H599" s="587"/>
      <c r="I599" s="587">
        <v>20</v>
      </c>
      <c r="J599" s="587">
        <f t="shared" si="53"/>
        <v>2.7600000000000002</v>
      </c>
      <c r="K599" s="587"/>
      <c r="L599" s="587"/>
      <c r="M599" s="587">
        <f t="shared" si="50"/>
        <v>0</v>
      </c>
      <c r="N599" s="587">
        <f t="shared" si="50"/>
        <v>3</v>
      </c>
      <c r="O599" s="587">
        <f t="shared" si="50"/>
        <v>0</v>
      </c>
      <c r="P599" s="587">
        <f t="shared" si="50"/>
        <v>0</v>
      </c>
    </row>
    <row r="600" spans="2:16">
      <c r="B600" s="587" t="s">
        <v>868</v>
      </c>
      <c r="C600" s="587" t="s">
        <v>869</v>
      </c>
      <c r="D600" s="587" t="s">
        <v>872</v>
      </c>
      <c r="E600" s="587"/>
      <c r="F600" s="587" t="str">
        <f t="shared" si="51"/>
        <v>Vélo personnel (y compris vélo à assistance électrique)</v>
      </c>
      <c r="G600" s="587">
        <f t="shared" si="52"/>
        <v>7</v>
      </c>
      <c r="H600" s="587"/>
      <c r="I600" s="587">
        <v>13</v>
      </c>
      <c r="J600" s="587">
        <f t="shared" si="53"/>
        <v>0</v>
      </c>
      <c r="K600" s="587"/>
      <c r="L600" s="587"/>
      <c r="M600" s="587">
        <f t="shared" si="50"/>
        <v>7</v>
      </c>
      <c r="N600" s="587">
        <f t="shared" si="50"/>
        <v>0</v>
      </c>
      <c r="O600" s="587">
        <f t="shared" si="50"/>
        <v>0</v>
      </c>
      <c r="P600" s="587">
        <f t="shared" si="50"/>
        <v>0</v>
      </c>
    </row>
    <row r="601" spans="2:16">
      <c r="B601" s="587" t="s">
        <v>868</v>
      </c>
      <c r="C601" s="587" t="s">
        <v>869</v>
      </c>
      <c r="D601" s="587" t="s">
        <v>871</v>
      </c>
      <c r="E601" s="587"/>
      <c r="F601" s="587" t="str">
        <f t="shared" si="51"/>
        <v>Marche à pied (exclusivement sur tout le trajet)</v>
      </c>
      <c r="G601" s="587">
        <f t="shared" si="52"/>
        <v>7</v>
      </c>
      <c r="H601" s="587"/>
      <c r="I601" s="587">
        <v>3</v>
      </c>
      <c r="J601" s="587">
        <f t="shared" si="53"/>
        <v>0</v>
      </c>
      <c r="K601" s="587"/>
      <c r="L601" s="587"/>
      <c r="M601" s="587">
        <f t="shared" si="50"/>
        <v>7</v>
      </c>
      <c r="N601" s="587">
        <f t="shared" si="50"/>
        <v>0</v>
      </c>
      <c r="O601" s="587">
        <f t="shared" si="50"/>
        <v>0</v>
      </c>
      <c r="P601" s="587">
        <f t="shared" ref="P601:P664" si="54">IF($C601=P$27,$G601,0)</f>
        <v>0</v>
      </c>
    </row>
    <row r="602" spans="2:16">
      <c r="B602" s="587" t="s">
        <v>868</v>
      </c>
      <c r="C602" s="587" t="s">
        <v>882</v>
      </c>
      <c r="D602" s="587" t="s">
        <v>872</v>
      </c>
      <c r="E602" s="587"/>
      <c r="F602" s="587" t="str">
        <f t="shared" si="51"/>
        <v>Vélo personnel (y compris vélo à assistance électrique)</v>
      </c>
      <c r="G602" s="587">
        <f t="shared" si="52"/>
        <v>7</v>
      </c>
      <c r="H602" s="587"/>
      <c r="I602" s="587">
        <v>25</v>
      </c>
      <c r="J602" s="587">
        <f t="shared" si="53"/>
        <v>0</v>
      </c>
      <c r="K602" s="587"/>
      <c r="L602" s="587"/>
      <c r="M602" s="587">
        <f t="shared" ref="M602:P665" si="55">IF($C602=M$27,$G602,0)</f>
        <v>0</v>
      </c>
      <c r="N602" s="587">
        <f t="shared" si="55"/>
        <v>0</v>
      </c>
      <c r="O602" s="587">
        <f t="shared" si="55"/>
        <v>7</v>
      </c>
      <c r="P602" s="587">
        <f t="shared" si="54"/>
        <v>0</v>
      </c>
    </row>
    <row r="603" spans="2:16">
      <c r="B603" s="587" t="s">
        <v>868</v>
      </c>
      <c r="C603" s="587" t="s">
        <v>875</v>
      </c>
      <c r="D603" s="587" t="s">
        <v>872</v>
      </c>
      <c r="E603" s="587"/>
      <c r="F603" s="587" t="str">
        <f t="shared" si="51"/>
        <v>Vélo personnel (y compris vélo à assistance électrique)</v>
      </c>
      <c r="G603" s="587">
        <f t="shared" si="52"/>
        <v>7</v>
      </c>
      <c r="H603" s="587"/>
      <c r="I603" s="587">
        <v>18</v>
      </c>
      <c r="J603" s="587">
        <f t="shared" si="53"/>
        <v>0</v>
      </c>
      <c r="K603" s="587"/>
      <c r="L603" s="587"/>
      <c r="M603" s="587">
        <f t="shared" si="55"/>
        <v>0</v>
      </c>
      <c r="N603" s="587">
        <f t="shared" si="55"/>
        <v>7</v>
      </c>
      <c r="O603" s="587">
        <f t="shared" si="55"/>
        <v>0</v>
      </c>
      <c r="P603" s="587">
        <f t="shared" si="54"/>
        <v>0</v>
      </c>
    </row>
    <row r="604" spans="2:16">
      <c r="B604" s="587" t="s">
        <v>868</v>
      </c>
      <c r="C604" s="587" t="s">
        <v>869</v>
      </c>
      <c r="D604" s="587" t="s">
        <v>876</v>
      </c>
      <c r="E604" s="587"/>
      <c r="F604" s="587" t="str">
        <f t="shared" si="51"/>
        <v>Trottinette, roller, skateboard,...</v>
      </c>
      <c r="G604" s="587">
        <f t="shared" si="52"/>
        <v>7</v>
      </c>
      <c r="H604" s="587"/>
      <c r="I604" s="587">
        <v>5</v>
      </c>
      <c r="J604" s="587">
        <f t="shared" si="53"/>
        <v>0</v>
      </c>
      <c r="K604" s="587"/>
      <c r="L604" s="587"/>
      <c r="M604" s="587">
        <f t="shared" si="55"/>
        <v>7</v>
      </c>
      <c r="N604" s="587">
        <f t="shared" si="55"/>
        <v>0</v>
      </c>
      <c r="O604" s="587">
        <f t="shared" si="55"/>
        <v>0</v>
      </c>
      <c r="P604" s="587">
        <f t="shared" si="54"/>
        <v>0</v>
      </c>
    </row>
    <row r="605" spans="2:16">
      <c r="B605" s="587" t="s">
        <v>868</v>
      </c>
      <c r="C605" s="587" t="s">
        <v>869</v>
      </c>
      <c r="D605" s="587" t="s">
        <v>872</v>
      </c>
      <c r="E605" s="587"/>
      <c r="F605" s="587" t="str">
        <f t="shared" si="51"/>
        <v>Vélo personnel (y compris vélo à assistance électrique)</v>
      </c>
      <c r="G605" s="587">
        <f t="shared" si="52"/>
        <v>7</v>
      </c>
      <c r="H605" s="587"/>
      <c r="I605" s="587">
        <v>5</v>
      </c>
      <c r="J605" s="587">
        <f t="shared" si="53"/>
        <v>0</v>
      </c>
      <c r="K605" s="587"/>
      <c r="L605" s="587"/>
      <c r="M605" s="587">
        <f t="shared" si="55"/>
        <v>7</v>
      </c>
      <c r="N605" s="587">
        <f t="shared" si="55"/>
        <v>0</v>
      </c>
      <c r="O605" s="587">
        <f t="shared" si="55"/>
        <v>0</v>
      </c>
      <c r="P605" s="587">
        <f t="shared" si="54"/>
        <v>0</v>
      </c>
    </row>
    <row r="606" spans="2:16">
      <c r="B606" s="587" t="s">
        <v>868</v>
      </c>
      <c r="C606" s="587" t="s">
        <v>869</v>
      </c>
      <c r="D606" s="587" t="s">
        <v>873</v>
      </c>
      <c r="E606" s="587"/>
      <c r="F606" s="587" t="str">
        <f t="shared" si="51"/>
        <v>Tramway</v>
      </c>
      <c r="G606" s="587">
        <f t="shared" si="52"/>
        <v>1</v>
      </c>
      <c r="H606" s="587"/>
      <c r="I606" s="587">
        <v>6</v>
      </c>
      <c r="J606" s="587">
        <f t="shared" si="53"/>
        <v>4.8833333333333326E-2</v>
      </c>
      <c r="K606" s="587"/>
      <c r="L606" s="587"/>
      <c r="M606" s="587">
        <f t="shared" si="55"/>
        <v>1</v>
      </c>
      <c r="N606" s="587">
        <f t="shared" si="55"/>
        <v>0</v>
      </c>
      <c r="O606" s="587">
        <f t="shared" si="55"/>
        <v>0</v>
      </c>
      <c r="P606" s="587">
        <f t="shared" si="54"/>
        <v>0</v>
      </c>
    </row>
    <row r="607" spans="2:16">
      <c r="B607" s="587" t="s">
        <v>868</v>
      </c>
      <c r="C607" s="587" t="s">
        <v>875</v>
      </c>
      <c r="D607" s="587" t="s">
        <v>879</v>
      </c>
      <c r="E607" s="587"/>
      <c r="F607" s="587" t="str">
        <f t="shared" si="51"/>
        <v>Voiture (seul(e))</v>
      </c>
      <c r="G607" s="587">
        <f t="shared" si="52"/>
        <v>3</v>
      </c>
      <c r="H607" s="587"/>
      <c r="I607" s="587">
        <v>25</v>
      </c>
      <c r="J607" s="587">
        <f t="shared" si="53"/>
        <v>2.7600000000000002</v>
      </c>
      <c r="K607" s="587"/>
      <c r="L607" s="587"/>
      <c r="M607" s="587">
        <f t="shared" si="55"/>
        <v>0</v>
      </c>
      <c r="N607" s="587">
        <f t="shared" si="55"/>
        <v>3</v>
      </c>
      <c r="O607" s="587">
        <f t="shared" si="55"/>
        <v>0</v>
      </c>
      <c r="P607" s="587">
        <f t="shared" si="54"/>
        <v>0</v>
      </c>
    </row>
    <row r="608" spans="2:16">
      <c r="B608" s="587" t="s">
        <v>868</v>
      </c>
      <c r="C608" s="587" t="s">
        <v>869</v>
      </c>
      <c r="D608" s="587" t="s">
        <v>876</v>
      </c>
      <c r="E608" s="587"/>
      <c r="F608" s="587" t="str">
        <f t="shared" si="51"/>
        <v>Trottinette, roller, skateboard,...</v>
      </c>
      <c r="G608" s="587">
        <f t="shared" si="52"/>
        <v>7</v>
      </c>
      <c r="H608" s="587"/>
      <c r="I608" s="587">
        <v>5</v>
      </c>
      <c r="J608" s="587">
        <f t="shared" si="53"/>
        <v>0</v>
      </c>
      <c r="K608" s="587"/>
      <c r="L608" s="587"/>
      <c r="M608" s="587">
        <f t="shared" si="55"/>
        <v>7</v>
      </c>
      <c r="N608" s="587">
        <f t="shared" si="55"/>
        <v>0</v>
      </c>
      <c r="O608" s="587">
        <f t="shared" si="55"/>
        <v>0</v>
      </c>
      <c r="P608" s="587">
        <f t="shared" si="54"/>
        <v>0</v>
      </c>
    </row>
    <row r="609" spans="2:16">
      <c r="B609" s="587" t="s">
        <v>868</v>
      </c>
      <c r="C609" s="587" t="s">
        <v>869</v>
      </c>
      <c r="D609" s="587" t="s">
        <v>872</v>
      </c>
      <c r="E609" s="587"/>
      <c r="F609" s="587" t="str">
        <f t="shared" si="51"/>
        <v>Vélo personnel (y compris vélo à assistance électrique)</v>
      </c>
      <c r="G609" s="587">
        <f t="shared" si="52"/>
        <v>7</v>
      </c>
      <c r="H609" s="587"/>
      <c r="I609" s="587">
        <v>4</v>
      </c>
      <c r="J609" s="587">
        <f t="shared" si="53"/>
        <v>0</v>
      </c>
      <c r="K609" s="587"/>
      <c r="L609" s="587"/>
      <c r="M609" s="587">
        <f t="shared" si="55"/>
        <v>7</v>
      </c>
      <c r="N609" s="587">
        <f t="shared" si="55"/>
        <v>0</v>
      </c>
      <c r="O609" s="587">
        <f t="shared" si="55"/>
        <v>0</v>
      </c>
      <c r="P609" s="587">
        <f t="shared" si="54"/>
        <v>0</v>
      </c>
    </row>
    <row r="610" spans="2:16">
      <c r="B610" s="587" t="s">
        <v>868</v>
      </c>
      <c r="C610" s="587" t="s">
        <v>869</v>
      </c>
      <c r="D610" s="587" t="s">
        <v>871</v>
      </c>
      <c r="E610" s="587"/>
      <c r="F610" s="587" t="str">
        <f t="shared" si="51"/>
        <v>Marche à pied (exclusivement sur tout le trajet)</v>
      </c>
      <c r="G610" s="587">
        <f t="shared" si="52"/>
        <v>7</v>
      </c>
      <c r="H610" s="587"/>
      <c r="I610" s="587">
        <v>2</v>
      </c>
      <c r="J610" s="587">
        <f t="shared" si="53"/>
        <v>0</v>
      </c>
      <c r="K610" s="587"/>
      <c r="L610" s="587"/>
      <c r="M610" s="587">
        <f t="shared" si="55"/>
        <v>7</v>
      </c>
      <c r="N610" s="587">
        <f t="shared" si="55"/>
        <v>0</v>
      </c>
      <c r="O610" s="587">
        <f t="shared" si="55"/>
        <v>0</v>
      </c>
      <c r="P610" s="587">
        <f t="shared" si="54"/>
        <v>0</v>
      </c>
    </row>
    <row r="611" spans="2:16">
      <c r="B611" s="587" t="s">
        <v>868</v>
      </c>
      <c r="C611" s="587" t="s">
        <v>869</v>
      </c>
      <c r="D611" s="587" t="s">
        <v>872</v>
      </c>
      <c r="E611" s="587"/>
      <c r="F611" s="587" t="str">
        <f t="shared" si="51"/>
        <v>Vélo personnel (y compris vélo à assistance électrique)</v>
      </c>
      <c r="G611" s="587">
        <f t="shared" si="52"/>
        <v>7</v>
      </c>
      <c r="H611" s="587"/>
      <c r="I611" s="587">
        <v>20</v>
      </c>
      <c r="J611" s="587">
        <f t="shared" si="53"/>
        <v>0</v>
      </c>
      <c r="K611" s="587"/>
      <c r="L611" s="587"/>
      <c r="M611" s="587">
        <f t="shared" si="55"/>
        <v>7</v>
      </c>
      <c r="N611" s="587">
        <f t="shared" si="55"/>
        <v>0</v>
      </c>
      <c r="O611" s="587">
        <f t="shared" si="55"/>
        <v>0</v>
      </c>
      <c r="P611" s="587">
        <f t="shared" si="54"/>
        <v>0</v>
      </c>
    </row>
    <row r="612" spans="2:16">
      <c r="B612" s="587" t="s">
        <v>868</v>
      </c>
      <c r="C612" s="587" t="s">
        <v>882</v>
      </c>
      <c r="D612" s="587" t="s">
        <v>876</v>
      </c>
      <c r="E612" s="587"/>
      <c r="F612" s="587" t="str">
        <f t="shared" si="51"/>
        <v>Trottinette, roller, skateboard,...</v>
      </c>
      <c r="G612" s="587">
        <f t="shared" si="52"/>
        <v>7</v>
      </c>
      <c r="H612" s="587"/>
      <c r="I612" s="587">
        <v>13</v>
      </c>
      <c r="J612" s="587">
        <f t="shared" si="53"/>
        <v>0</v>
      </c>
      <c r="K612" s="587"/>
      <c r="L612" s="587"/>
      <c r="M612" s="587">
        <f t="shared" si="55"/>
        <v>0</v>
      </c>
      <c r="N612" s="587">
        <f t="shared" si="55"/>
        <v>0</v>
      </c>
      <c r="O612" s="587">
        <f t="shared" si="55"/>
        <v>7</v>
      </c>
      <c r="P612" s="587">
        <f t="shared" si="54"/>
        <v>0</v>
      </c>
    </row>
    <row r="613" spans="2:16">
      <c r="B613" s="587" t="s">
        <v>868</v>
      </c>
      <c r="C613" s="587" t="s">
        <v>882</v>
      </c>
      <c r="D613" s="587" t="s">
        <v>883</v>
      </c>
      <c r="E613" s="587"/>
      <c r="F613" s="587" t="str">
        <f t="shared" si="51"/>
        <v>Covoiturage (passager(ère))</v>
      </c>
      <c r="G613" s="587">
        <f t="shared" si="52"/>
        <v>4</v>
      </c>
      <c r="H613" s="587"/>
      <c r="I613" s="587">
        <v>75</v>
      </c>
      <c r="J613" s="587">
        <f t="shared" si="53"/>
        <v>0.69000000000000006</v>
      </c>
      <c r="K613" s="587"/>
      <c r="L613" s="587"/>
      <c r="M613" s="587">
        <f t="shared" si="55"/>
        <v>0</v>
      </c>
      <c r="N613" s="587">
        <f t="shared" si="55"/>
        <v>0</v>
      </c>
      <c r="O613" s="587">
        <f t="shared" si="55"/>
        <v>4</v>
      </c>
      <c r="P613" s="587">
        <f t="shared" si="54"/>
        <v>0</v>
      </c>
    </row>
    <row r="614" spans="2:16">
      <c r="B614" s="587" t="s">
        <v>868</v>
      </c>
      <c r="C614" s="587" t="s">
        <v>875</v>
      </c>
      <c r="D614" s="587" t="s">
        <v>879</v>
      </c>
      <c r="E614" s="587"/>
      <c r="F614" s="587" t="str">
        <f t="shared" si="51"/>
        <v>Voiture (seul(e))</v>
      </c>
      <c r="G614" s="587">
        <f t="shared" si="52"/>
        <v>3</v>
      </c>
      <c r="H614" s="587"/>
      <c r="I614" s="587">
        <v>25</v>
      </c>
      <c r="J614" s="587">
        <f t="shared" si="53"/>
        <v>2.7600000000000002</v>
      </c>
      <c r="K614" s="587"/>
      <c r="L614" s="587"/>
      <c r="M614" s="587">
        <f t="shared" si="55"/>
        <v>0</v>
      </c>
      <c r="N614" s="587">
        <f t="shared" si="55"/>
        <v>3</v>
      </c>
      <c r="O614" s="587">
        <f t="shared" si="55"/>
        <v>0</v>
      </c>
      <c r="P614" s="587">
        <f t="shared" si="54"/>
        <v>0</v>
      </c>
    </row>
    <row r="615" spans="2:16">
      <c r="B615" s="587" t="s">
        <v>868</v>
      </c>
      <c r="C615" s="587" t="s">
        <v>869</v>
      </c>
      <c r="D615" s="587" t="s">
        <v>871</v>
      </c>
      <c r="E615" s="587"/>
      <c r="F615" s="587" t="str">
        <f t="shared" si="51"/>
        <v>Marche à pied (exclusivement sur tout le trajet)</v>
      </c>
      <c r="G615" s="587">
        <f t="shared" si="52"/>
        <v>7</v>
      </c>
      <c r="H615" s="587"/>
      <c r="I615" s="587">
        <v>6</v>
      </c>
      <c r="J615" s="587">
        <f t="shared" si="53"/>
        <v>0</v>
      </c>
      <c r="K615" s="587"/>
      <c r="L615" s="587"/>
      <c r="M615" s="587">
        <f t="shared" si="55"/>
        <v>7</v>
      </c>
      <c r="N615" s="587">
        <f t="shared" si="55"/>
        <v>0</v>
      </c>
      <c r="O615" s="587">
        <f t="shared" si="55"/>
        <v>0</v>
      </c>
      <c r="P615" s="587">
        <f t="shared" si="54"/>
        <v>0</v>
      </c>
    </row>
    <row r="616" spans="2:16">
      <c r="B616" s="587" t="s">
        <v>868</v>
      </c>
      <c r="C616" s="587" t="s">
        <v>869</v>
      </c>
      <c r="D616" s="587"/>
      <c r="E616" s="587" t="s">
        <v>848</v>
      </c>
      <c r="F616" s="587" t="str">
        <f t="shared" si="51"/>
        <v>Bus</v>
      </c>
      <c r="G616" s="587">
        <f t="shared" si="52"/>
        <v>2</v>
      </c>
      <c r="H616" s="587"/>
      <c r="I616" s="587">
        <v>60</v>
      </c>
      <c r="J616" s="587">
        <f t="shared" si="53"/>
        <v>1.29</v>
      </c>
      <c r="K616" s="587"/>
      <c r="L616" s="587"/>
      <c r="M616" s="587">
        <f t="shared" si="55"/>
        <v>2</v>
      </c>
      <c r="N616" s="587">
        <f t="shared" si="55"/>
        <v>0</v>
      </c>
      <c r="O616" s="587">
        <f t="shared" si="55"/>
        <v>0</v>
      </c>
      <c r="P616" s="587">
        <f t="shared" si="54"/>
        <v>0</v>
      </c>
    </row>
    <row r="617" spans="2:16">
      <c r="B617" s="587" t="s">
        <v>868</v>
      </c>
      <c r="C617" s="587" t="s">
        <v>869</v>
      </c>
      <c r="D617" s="587" t="s">
        <v>879</v>
      </c>
      <c r="E617" s="587"/>
      <c r="F617" s="587" t="str">
        <f t="shared" si="51"/>
        <v>Voiture (seul(e))</v>
      </c>
      <c r="G617" s="587">
        <f t="shared" si="52"/>
        <v>3</v>
      </c>
      <c r="H617" s="587"/>
      <c r="I617" s="587">
        <v>120</v>
      </c>
      <c r="J617" s="587">
        <f t="shared" si="53"/>
        <v>2.7600000000000002</v>
      </c>
      <c r="K617" s="587"/>
      <c r="L617" s="587"/>
      <c r="M617" s="587">
        <f t="shared" si="55"/>
        <v>3</v>
      </c>
      <c r="N617" s="587">
        <f t="shared" si="55"/>
        <v>0</v>
      </c>
      <c r="O617" s="587">
        <f t="shared" si="55"/>
        <v>0</v>
      </c>
      <c r="P617" s="587">
        <f t="shared" si="54"/>
        <v>0</v>
      </c>
    </row>
    <row r="618" spans="2:16">
      <c r="B618" s="587" t="s">
        <v>868</v>
      </c>
      <c r="C618" s="587" t="s">
        <v>869</v>
      </c>
      <c r="D618" s="587"/>
      <c r="E618" s="587" t="s">
        <v>878</v>
      </c>
      <c r="F618" s="587" t="str">
        <f t="shared" si="51"/>
        <v>Marche à pied au-delà de 5 minutes</v>
      </c>
      <c r="G618" s="587">
        <f t="shared" si="52"/>
        <v>7</v>
      </c>
      <c r="H618" s="587"/>
      <c r="I618" s="587"/>
      <c r="J618" s="587">
        <f t="shared" si="53"/>
        <v>0</v>
      </c>
      <c r="K618" s="587"/>
      <c r="L618" s="587"/>
      <c r="M618" s="587">
        <f t="shared" si="55"/>
        <v>7</v>
      </c>
      <c r="N618" s="587">
        <f t="shared" si="55"/>
        <v>0</v>
      </c>
      <c r="O618" s="587">
        <f t="shared" si="55"/>
        <v>0</v>
      </c>
      <c r="P618" s="587">
        <f t="shared" si="54"/>
        <v>0</v>
      </c>
    </row>
    <row r="619" spans="2:16">
      <c r="B619" s="587" t="s">
        <v>868</v>
      </c>
      <c r="C619" s="587" t="s">
        <v>882</v>
      </c>
      <c r="D619" s="587" t="s">
        <v>879</v>
      </c>
      <c r="E619" s="587"/>
      <c r="F619" s="587" t="str">
        <f t="shared" si="51"/>
        <v>Voiture (seul(e))</v>
      </c>
      <c r="G619" s="587">
        <f t="shared" si="52"/>
        <v>3</v>
      </c>
      <c r="H619" s="587"/>
      <c r="I619" s="587">
        <v>35</v>
      </c>
      <c r="J619" s="587">
        <f t="shared" si="53"/>
        <v>2.7600000000000002</v>
      </c>
      <c r="K619" s="587"/>
      <c r="L619" s="587"/>
      <c r="M619" s="587">
        <f t="shared" si="55"/>
        <v>0</v>
      </c>
      <c r="N619" s="587">
        <f t="shared" si="55"/>
        <v>0</v>
      </c>
      <c r="O619" s="587">
        <f t="shared" si="55"/>
        <v>3</v>
      </c>
      <c r="P619" s="587">
        <f t="shared" si="54"/>
        <v>0</v>
      </c>
    </row>
    <row r="620" spans="2:16">
      <c r="B620" s="587" t="s">
        <v>868</v>
      </c>
      <c r="C620" s="587" t="s">
        <v>869</v>
      </c>
      <c r="D620" s="587" t="s">
        <v>872</v>
      </c>
      <c r="E620" s="587"/>
      <c r="F620" s="587" t="str">
        <f t="shared" si="51"/>
        <v>Vélo personnel (y compris vélo à assistance électrique)</v>
      </c>
      <c r="G620" s="587">
        <f t="shared" si="52"/>
        <v>7</v>
      </c>
      <c r="H620" s="587"/>
      <c r="I620" s="587">
        <v>6</v>
      </c>
      <c r="J620" s="587">
        <f t="shared" si="53"/>
        <v>0</v>
      </c>
      <c r="K620" s="587"/>
      <c r="L620" s="587"/>
      <c r="M620" s="587">
        <f t="shared" si="55"/>
        <v>7</v>
      </c>
      <c r="N620" s="587">
        <f t="shared" si="55"/>
        <v>0</v>
      </c>
      <c r="O620" s="587">
        <f t="shared" si="55"/>
        <v>0</v>
      </c>
      <c r="P620" s="587">
        <f t="shared" si="54"/>
        <v>0</v>
      </c>
    </row>
    <row r="621" spans="2:16">
      <c r="B621" s="587" t="s">
        <v>868</v>
      </c>
      <c r="C621" s="587" t="s">
        <v>875</v>
      </c>
      <c r="D621" s="587" t="s">
        <v>879</v>
      </c>
      <c r="E621" s="587"/>
      <c r="F621" s="587" t="str">
        <f t="shared" si="51"/>
        <v>Voiture (seul(e))</v>
      </c>
      <c r="G621" s="587">
        <f t="shared" si="52"/>
        <v>3</v>
      </c>
      <c r="H621" s="587"/>
      <c r="I621" s="587">
        <v>20</v>
      </c>
      <c r="J621" s="587">
        <f t="shared" si="53"/>
        <v>2.7600000000000002</v>
      </c>
      <c r="K621" s="587"/>
      <c r="L621" s="587"/>
      <c r="M621" s="587">
        <f t="shared" si="55"/>
        <v>0</v>
      </c>
      <c r="N621" s="587">
        <f t="shared" si="55"/>
        <v>3</v>
      </c>
      <c r="O621" s="587">
        <f t="shared" si="55"/>
        <v>0</v>
      </c>
      <c r="P621" s="587">
        <f t="shared" si="54"/>
        <v>0</v>
      </c>
    </row>
    <row r="622" spans="2:16">
      <c r="B622" s="587" t="s">
        <v>868</v>
      </c>
      <c r="C622" s="587" t="s">
        <v>875</v>
      </c>
      <c r="D622" s="587" t="s">
        <v>873</v>
      </c>
      <c r="E622" s="587"/>
      <c r="F622" s="587" t="str">
        <f t="shared" si="51"/>
        <v>Tramway</v>
      </c>
      <c r="G622" s="587">
        <f t="shared" si="52"/>
        <v>1</v>
      </c>
      <c r="H622" s="587"/>
      <c r="I622" s="587">
        <v>30</v>
      </c>
      <c r="J622" s="587">
        <f t="shared" si="53"/>
        <v>4.8833333333333326E-2</v>
      </c>
      <c r="K622" s="587"/>
      <c r="L622" s="587"/>
      <c r="M622" s="587">
        <f t="shared" si="55"/>
        <v>0</v>
      </c>
      <c r="N622" s="587">
        <f t="shared" si="55"/>
        <v>1</v>
      </c>
      <c r="O622" s="587">
        <f t="shared" si="55"/>
        <v>0</v>
      </c>
      <c r="P622" s="587">
        <f t="shared" si="54"/>
        <v>0</v>
      </c>
    </row>
    <row r="623" spans="2:16">
      <c r="B623" s="587" t="s">
        <v>868</v>
      </c>
      <c r="C623" s="587" t="s">
        <v>882</v>
      </c>
      <c r="D623" s="587" t="s">
        <v>885</v>
      </c>
      <c r="E623" s="587"/>
      <c r="F623" s="587" t="str">
        <f t="shared" si="51"/>
        <v>Covoiturage (conducteur(trice))</v>
      </c>
      <c r="G623" s="587">
        <f t="shared" si="52"/>
        <v>4</v>
      </c>
      <c r="H623" s="587"/>
      <c r="I623" s="587">
        <v>15</v>
      </c>
      <c r="J623" s="587">
        <f t="shared" si="53"/>
        <v>0.69000000000000006</v>
      </c>
      <c r="K623" s="587"/>
      <c r="L623" s="587"/>
      <c r="M623" s="587">
        <f t="shared" si="55"/>
        <v>0</v>
      </c>
      <c r="N623" s="587">
        <f t="shared" si="55"/>
        <v>0</v>
      </c>
      <c r="O623" s="587">
        <f t="shared" si="55"/>
        <v>4</v>
      </c>
      <c r="P623" s="587">
        <f t="shared" si="54"/>
        <v>0</v>
      </c>
    </row>
    <row r="624" spans="2:16">
      <c r="B624" s="587" t="s">
        <v>868</v>
      </c>
      <c r="C624" s="587" t="s">
        <v>869</v>
      </c>
      <c r="D624" s="587" t="s">
        <v>871</v>
      </c>
      <c r="E624" s="587"/>
      <c r="F624" s="587" t="str">
        <f t="shared" ref="F624:F687" si="56">IF(D624="",E624,D624)</f>
        <v>Marche à pied (exclusivement sur tout le trajet)</v>
      </c>
      <c r="G624" s="587">
        <f t="shared" ref="G624:G687" si="57">IF(F624="Métro",1,IF(F624="Tramway",1,IF(F624="Vélo'v",7,IF(F624="Marche à pied (exclusivement sur tout le trajet)",7,IF(F624="Vélo personnel (y compris vélo à assistance électrique)",7,IF(F624="Trottinette, roller, skateboard,…",7,IF(F624="Marche à pied au-delà de 5 minutes",7,IF(F624="Voiture (seul(e))",3,IF(F624="Bus",2,IF(F624="Trottinette, roller, skateboard au-delà de 5 minutes",7,IF(F624="Covoiturage (passager(ère))",4,IF(F624="Trottinette, roller, skateboard,...",7,IF(F624="Vélo’v",7,IF(F624="Train (TER,TGV,...)",6,IF(F624="Deux roues motorisées (moto, scooter, mobylette,…)",5,IF(F624="Covoiturage (conducteur(trice))",4,IF(F624="Train (TER,..)",6,0)))))))))))))))))</f>
        <v>7</v>
      </c>
      <c r="H624" s="587"/>
      <c r="I624" s="587">
        <v>15</v>
      </c>
      <c r="J624" s="587">
        <f t="shared" ref="J624:J687" si="58">IF(G624=1,$C$6*($I$28*$K$6)/$J$6,IF(G624=2,$C$7*($I$28*$K$7)/$J$7,IF(G624=3,$C$8*$I$28*$K$8/$J$8,IF(G624=4,$C$9*$I$28*$K$9/$J$9,IF(G624=5,$C$10*$I$28*$K$10/$J$10,IF(G624=6,$C$11*$K$11*$I$28/$J$11,0))))))</f>
        <v>0</v>
      </c>
      <c r="K624" s="587"/>
      <c r="L624" s="587"/>
      <c r="M624" s="587">
        <f t="shared" si="55"/>
        <v>7</v>
      </c>
      <c r="N624" s="587">
        <f t="shared" si="55"/>
        <v>0</v>
      </c>
      <c r="O624" s="587">
        <f t="shared" si="55"/>
        <v>0</v>
      </c>
      <c r="P624" s="587">
        <f t="shared" si="54"/>
        <v>0</v>
      </c>
    </row>
    <row r="625" spans="2:16">
      <c r="B625" s="587" t="s">
        <v>868</v>
      </c>
      <c r="C625" s="587" t="s">
        <v>869</v>
      </c>
      <c r="D625" s="587" t="s">
        <v>871</v>
      </c>
      <c r="E625" s="587"/>
      <c r="F625" s="587" t="str">
        <f t="shared" si="56"/>
        <v>Marche à pied (exclusivement sur tout le trajet)</v>
      </c>
      <c r="G625" s="587">
        <f t="shared" si="57"/>
        <v>7</v>
      </c>
      <c r="H625" s="587"/>
      <c r="I625" s="587">
        <v>5</v>
      </c>
      <c r="J625" s="587">
        <f t="shared" si="58"/>
        <v>0</v>
      </c>
      <c r="K625" s="587"/>
      <c r="L625" s="587"/>
      <c r="M625" s="587">
        <f t="shared" si="55"/>
        <v>7</v>
      </c>
      <c r="N625" s="587">
        <f t="shared" si="55"/>
        <v>0</v>
      </c>
      <c r="O625" s="587">
        <f t="shared" si="55"/>
        <v>0</v>
      </c>
      <c r="P625" s="587">
        <f t="shared" si="54"/>
        <v>0</v>
      </c>
    </row>
    <row r="626" spans="2:16">
      <c r="B626" s="587" t="s">
        <v>868</v>
      </c>
      <c r="C626" s="587" t="s">
        <v>869</v>
      </c>
      <c r="D626" s="587" t="s">
        <v>871</v>
      </c>
      <c r="E626" s="587"/>
      <c r="F626" s="587" t="str">
        <f t="shared" si="56"/>
        <v>Marche à pied (exclusivement sur tout le trajet)</v>
      </c>
      <c r="G626" s="587">
        <f t="shared" si="57"/>
        <v>7</v>
      </c>
      <c r="H626" s="587"/>
      <c r="I626" s="587">
        <v>20</v>
      </c>
      <c r="J626" s="587">
        <f t="shared" si="58"/>
        <v>0</v>
      </c>
      <c r="K626" s="587"/>
      <c r="L626" s="587"/>
      <c r="M626" s="587">
        <f t="shared" si="55"/>
        <v>7</v>
      </c>
      <c r="N626" s="587">
        <f t="shared" si="55"/>
        <v>0</v>
      </c>
      <c r="O626" s="587">
        <f t="shared" si="55"/>
        <v>0</v>
      </c>
      <c r="P626" s="587">
        <f t="shared" si="54"/>
        <v>0</v>
      </c>
    </row>
    <row r="627" spans="2:16">
      <c r="B627" s="587" t="s">
        <v>868</v>
      </c>
      <c r="C627" s="587" t="s">
        <v>869</v>
      </c>
      <c r="D627" s="587" t="s">
        <v>873</v>
      </c>
      <c r="E627" s="587"/>
      <c r="F627" s="587" t="str">
        <f t="shared" si="56"/>
        <v>Tramway</v>
      </c>
      <c r="G627" s="587">
        <f t="shared" si="57"/>
        <v>1</v>
      </c>
      <c r="H627" s="587"/>
      <c r="I627" s="587">
        <v>10</v>
      </c>
      <c r="J627" s="587">
        <f t="shared" si="58"/>
        <v>4.8833333333333326E-2</v>
      </c>
      <c r="K627" s="587"/>
      <c r="L627" s="587"/>
      <c r="M627" s="587">
        <f t="shared" si="55"/>
        <v>1</v>
      </c>
      <c r="N627" s="587">
        <f t="shared" si="55"/>
        <v>0</v>
      </c>
      <c r="O627" s="587">
        <f t="shared" si="55"/>
        <v>0</v>
      </c>
      <c r="P627" s="587">
        <f t="shared" si="54"/>
        <v>0</v>
      </c>
    </row>
    <row r="628" spans="2:16">
      <c r="B628" s="587" t="s">
        <v>868</v>
      </c>
      <c r="C628" s="587" t="s">
        <v>875</v>
      </c>
      <c r="D628" s="587"/>
      <c r="E628" s="587" t="s">
        <v>886</v>
      </c>
      <c r="F628" s="587" t="str">
        <f t="shared" si="56"/>
        <v>Train (TER,..)</v>
      </c>
      <c r="G628" s="587">
        <f t="shared" si="57"/>
        <v>6</v>
      </c>
      <c r="H628" s="587"/>
      <c r="I628" s="587">
        <v>150</v>
      </c>
      <c r="J628" s="587">
        <f t="shared" si="58"/>
        <v>0.34600000000000003</v>
      </c>
      <c r="K628" s="587"/>
      <c r="L628" s="587"/>
      <c r="M628" s="587">
        <f t="shared" si="55"/>
        <v>0</v>
      </c>
      <c r="N628" s="587">
        <f t="shared" si="55"/>
        <v>6</v>
      </c>
      <c r="O628" s="587">
        <f t="shared" si="55"/>
        <v>0</v>
      </c>
      <c r="P628" s="587">
        <f t="shared" si="54"/>
        <v>0</v>
      </c>
    </row>
    <row r="629" spans="2:16">
      <c r="B629" s="587" t="s">
        <v>868</v>
      </c>
      <c r="C629" s="587" t="s">
        <v>869</v>
      </c>
      <c r="D629" s="587" t="s">
        <v>872</v>
      </c>
      <c r="E629" s="587"/>
      <c r="F629" s="587" t="str">
        <f t="shared" si="56"/>
        <v>Vélo personnel (y compris vélo à assistance électrique)</v>
      </c>
      <c r="G629" s="587">
        <f t="shared" si="57"/>
        <v>7</v>
      </c>
      <c r="H629" s="587"/>
      <c r="I629" s="587">
        <v>15</v>
      </c>
      <c r="J629" s="587">
        <f t="shared" si="58"/>
        <v>0</v>
      </c>
      <c r="K629" s="587"/>
      <c r="L629" s="587"/>
      <c r="M629" s="587">
        <f t="shared" si="55"/>
        <v>7</v>
      </c>
      <c r="N629" s="587">
        <f t="shared" si="55"/>
        <v>0</v>
      </c>
      <c r="O629" s="587">
        <f t="shared" si="55"/>
        <v>0</v>
      </c>
      <c r="P629" s="587">
        <f t="shared" si="54"/>
        <v>0</v>
      </c>
    </row>
    <row r="630" spans="2:16">
      <c r="B630" s="587" t="s">
        <v>868</v>
      </c>
      <c r="C630" s="587" t="s">
        <v>869</v>
      </c>
      <c r="D630" s="587" t="s">
        <v>871</v>
      </c>
      <c r="E630" s="587"/>
      <c r="F630" s="587" t="str">
        <f t="shared" si="56"/>
        <v>Marche à pied (exclusivement sur tout le trajet)</v>
      </c>
      <c r="G630" s="587">
        <f t="shared" si="57"/>
        <v>7</v>
      </c>
      <c r="H630" s="587"/>
      <c r="I630" s="587">
        <v>7</v>
      </c>
      <c r="J630" s="587">
        <f t="shared" si="58"/>
        <v>0</v>
      </c>
      <c r="K630" s="587"/>
      <c r="L630" s="587"/>
      <c r="M630" s="587">
        <f t="shared" si="55"/>
        <v>7</v>
      </c>
      <c r="N630" s="587">
        <f t="shared" si="55"/>
        <v>0</v>
      </c>
      <c r="O630" s="587">
        <f t="shared" si="55"/>
        <v>0</v>
      </c>
      <c r="P630" s="587">
        <f t="shared" si="54"/>
        <v>0</v>
      </c>
    </row>
    <row r="631" spans="2:16">
      <c r="B631" s="587" t="s">
        <v>868</v>
      </c>
      <c r="C631" s="587" t="s">
        <v>875</v>
      </c>
      <c r="D631" s="587" t="s">
        <v>872</v>
      </c>
      <c r="E631" s="587"/>
      <c r="F631" s="587" t="str">
        <f t="shared" si="56"/>
        <v>Vélo personnel (y compris vélo à assistance électrique)</v>
      </c>
      <c r="G631" s="587">
        <f t="shared" si="57"/>
        <v>7</v>
      </c>
      <c r="H631" s="587"/>
      <c r="I631" s="587">
        <v>15</v>
      </c>
      <c r="J631" s="587">
        <f t="shared" si="58"/>
        <v>0</v>
      </c>
      <c r="K631" s="587"/>
      <c r="L631" s="587"/>
      <c r="M631" s="587">
        <f t="shared" si="55"/>
        <v>0</v>
      </c>
      <c r="N631" s="587">
        <f t="shared" si="55"/>
        <v>7</v>
      </c>
      <c r="O631" s="587">
        <f t="shared" si="55"/>
        <v>0</v>
      </c>
      <c r="P631" s="587">
        <f t="shared" si="54"/>
        <v>0</v>
      </c>
    </row>
    <row r="632" spans="2:16">
      <c r="B632" s="587" t="s">
        <v>868</v>
      </c>
      <c r="C632" s="587" t="s">
        <v>869</v>
      </c>
      <c r="D632" s="587"/>
      <c r="E632" s="587" t="s">
        <v>878</v>
      </c>
      <c r="F632" s="587" t="str">
        <f t="shared" si="56"/>
        <v>Marche à pied au-delà de 5 minutes</v>
      </c>
      <c r="G632" s="587">
        <f t="shared" si="57"/>
        <v>7</v>
      </c>
      <c r="H632" s="587"/>
      <c r="I632" s="587">
        <v>40</v>
      </c>
      <c r="J632" s="587">
        <f t="shared" si="58"/>
        <v>0</v>
      </c>
      <c r="K632" s="587"/>
      <c r="L632" s="587"/>
      <c r="M632" s="587">
        <f t="shared" si="55"/>
        <v>7</v>
      </c>
      <c r="N632" s="587">
        <f t="shared" si="55"/>
        <v>0</v>
      </c>
      <c r="O632" s="587">
        <f t="shared" si="55"/>
        <v>0</v>
      </c>
      <c r="P632" s="587">
        <f t="shared" si="54"/>
        <v>0</v>
      </c>
    </row>
    <row r="633" spans="2:16">
      <c r="B633" s="587" t="s">
        <v>868</v>
      </c>
      <c r="C633" s="587" t="s">
        <v>875</v>
      </c>
      <c r="D633" s="587"/>
      <c r="E633" s="587" t="s">
        <v>872</v>
      </c>
      <c r="F633" s="587" t="str">
        <f t="shared" si="56"/>
        <v>Vélo personnel (y compris vélo à assistance électrique)</v>
      </c>
      <c r="G633" s="587">
        <f t="shared" si="57"/>
        <v>7</v>
      </c>
      <c r="H633" s="587"/>
      <c r="I633" s="587">
        <v>30</v>
      </c>
      <c r="J633" s="587">
        <f t="shared" si="58"/>
        <v>0</v>
      </c>
      <c r="K633" s="587"/>
      <c r="L633" s="587"/>
      <c r="M633" s="587">
        <f t="shared" si="55"/>
        <v>0</v>
      </c>
      <c r="N633" s="587">
        <f t="shared" si="55"/>
        <v>7</v>
      </c>
      <c r="O633" s="587">
        <f t="shared" si="55"/>
        <v>0</v>
      </c>
      <c r="P633" s="587">
        <f t="shared" si="54"/>
        <v>0</v>
      </c>
    </row>
    <row r="634" spans="2:16">
      <c r="B634" s="587" t="s">
        <v>868</v>
      </c>
      <c r="C634" s="587" t="s">
        <v>875</v>
      </c>
      <c r="D634" s="587" t="s">
        <v>879</v>
      </c>
      <c r="E634" s="587"/>
      <c r="F634" s="587" t="str">
        <f t="shared" si="56"/>
        <v>Voiture (seul(e))</v>
      </c>
      <c r="G634" s="587">
        <f t="shared" si="57"/>
        <v>3</v>
      </c>
      <c r="H634" s="587"/>
      <c r="I634" s="587">
        <v>15</v>
      </c>
      <c r="J634" s="587">
        <f t="shared" si="58"/>
        <v>2.7600000000000002</v>
      </c>
      <c r="K634" s="587"/>
      <c r="L634" s="587"/>
      <c r="M634" s="587">
        <f t="shared" si="55"/>
        <v>0</v>
      </c>
      <c r="N634" s="587">
        <f t="shared" si="55"/>
        <v>3</v>
      </c>
      <c r="O634" s="587">
        <f t="shared" si="55"/>
        <v>0</v>
      </c>
      <c r="P634" s="587">
        <f t="shared" si="54"/>
        <v>0</v>
      </c>
    </row>
    <row r="635" spans="2:16">
      <c r="B635" s="587" t="s">
        <v>868</v>
      </c>
      <c r="C635" s="587" t="s">
        <v>875</v>
      </c>
      <c r="D635" s="587" t="s">
        <v>872</v>
      </c>
      <c r="E635" s="587"/>
      <c r="F635" s="587" t="str">
        <f t="shared" si="56"/>
        <v>Vélo personnel (y compris vélo à assistance électrique)</v>
      </c>
      <c r="G635" s="587">
        <f t="shared" si="57"/>
        <v>7</v>
      </c>
      <c r="H635" s="587"/>
      <c r="I635" s="587">
        <v>15</v>
      </c>
      <c r="J635" s="587">
        <f t="shared" si="58"/>
        <v>0</v>
      </c>
      <c r="K635" s="587"/>
      <c r="L635" s="587"/>
      <c r="M635" s="587">
        <f t="shared" si="55"/>
        <v>0</v>
      </c>
      <c r="N635" s="587">
        <f t="shared" si="55"/>
        <v>7</v>
      </c>
      <c r="O635" s="587">
        <f t="shared" si="55"/>
        <v>0</v>
      </c>
      <c r="P635" s="587">
        <f t="shared" si="54"/>
        <v>0</v>
      </c>
    </row>
    <row r="636" spans="2:16">
      <c r="B636" s="587" t="s">
        <v>868</v>
      </c>
      <c r="C636" s="587" t="s">
        <v>882</v>
      </c>
      <c r="D636" s="587" t="s">
        <v>879</v>
      </c>
      <c r="E636" s="587"/>
      <c r="F636" s="587" t="str">
        <f t="shared" si="56"/>
        <v>Voiture (seul(e))</v>
      </c>
      <c r="G636" s="587">
        <f t="shared" si="57"/>
        <v>3</v>
      </c>
      <c r="H636" s="587"/>
      <c r="I636" s="587">
        <v>10</v>
      </c>
      <c r="J636" s="587">
        <f t="shared" si="58"/>
        <v>2.7600000000000002</v>
      </c>
      <c r="K636" s="587"/>
      <c r="L636" s="587"/>
      <c r="M636" s="587">
        <f t="shared" si="55"/>
        <v>0</v>
      </c>
      <c r="N636" s="587">
        <f t="shared" si="55"/>
        <v>0</v>
      </c>
      <c r="O636" s="587">
        <f t="shared" si="55"/>
        <v>3</v>
      </c>
      <c r="P636" s="587">
        <f t="shared" si="54"/>
        <v>0</v>
      </c>
    </row>
    <row r="637" spans="2:16">
      <c r="B637" s="587" t="s">
        <v>868</v>
      </c>
      <c r="C637" s="587" t="s">
        <v>869</v>
      </c>
      <c r="D637" s="587" t="s">
        <v>871</v>
      </c>
      <c r="E637" s="587"/>
      <c r="F637" s="587" t="str">
        <f t="shared" si="56"/>
        <v>Marche à pied (exclusivement sur tout le trajet)</v>
      </c>
      <c r="G637" s="587">
        <f t="shared" si="57"/>
        <v>7</v>
      </c>
      <c r="H637" s="587"/>
      <c r="I637" s="587">
        <v>15</v>
      </c>
      <c r="J637" s="587">
        <f t="shared" si="58"/>
        <v>0</v>
      </c>
      <c r="K637" s="587"/>
      <c r="L637" s="587"/>
      <c r="M637" s="587">
        <f t="shared" si="55"/>
        <v>7</v>
      </c>
      <c r="N637" s="587">
        <f t="shared" si="55"/>
        <v>0</v>
      </c>
      <c r="O637" s="587">
        <f t="shared" si="55"/>
        <v>0</v>
      </c>
      <c r="P637" s="587">
        <f t="shared" si="54"/>
        <v>0</v>
      </c>
    </row>
    <row r="638" spans="2:16">
      <c r="B638" s="587" t="s">
        <v>868</v>
      </c>
      <c r="C638" s="587" t="s">
        <v>882</v>
      </c>
      <c r="D638" s="587" t="s">
        <v>879</v>
      </c>
      <c r="E638" s="587"/>
      <c r="F638" s="587" t="str">
        <f t="shared" si="56"/>
        <v>Voiture (seul(e))</v>
      </c>
      <c r="G638" s="587">
        <f t="shared" si="57"/>
        <v>3</v>
      </c>
      <c r="H638" s="587"/>
      <c r="I638" s="587">
        <v>60</v>
      </c>
      <c r="J638" s="587">
        <f t="shared" si="58"/>
        <v>2.7600000000000002</v>
      </c>
      <c r="K638" s="587"/>
      <c r="L638" s="587"/>
      <c r="M638" s="587">
        <f t="shared" si="55"/>
        <v>0</v>
      </c>
      <c r="N638" s="587">
        <f t="shared" si="55"/>
        <v>0</v>
      </c>
      <c r="O638" s="587">
        <f t="shared" si="55"/>
        <v>3</v>
      </c>
      <c r="P638" s="587">
        <f t="shared" si="54"/>
        <v>0</v>
      </c>
    </row>
    <row r="639" spans="2:16">
      <c r="B639" s="587" t="s">
        <v>868</v>
      </c>
      <c r="C639" s="587" t="s">
        <v>869</v>
      </c>
      <c r="D639" s="587" t="s">
        <v>871</v>
      </c>
      <c r="E639" s="587"/>
      <c r="F639" s="587" t="str">
        <f t="shared" si="56"/>
        <v>Marche à pied (exclusivement sur tout le trajet)</v>
      </c>
      <c r="G639" s="587">
        <f t="shared" si="57"/>
        <v>7</v>
      </c>
      <c r="H639" s="587"/>
      <c r="I639" s="587">
        <v>15</v>
      </c>
      <c r="J639" s="587">
        <f t="shared" si="58"/>
        <v>0</v>
      </c>
      <c r="K639" s="587"/>
      <c r="L639" s="587"/>
      <c r="M639" s="587">
        <f t="shared" si="55"/>
        <v>7</v>
      </c>
      <c r="N639" s="587">
        <f t="shared" si="55"/>
        <v>0</v>
      </c>
      <c r="O639" s="587">
        <f t="shared" si="55"/>
        <v>0</v>
      </c>
      <c r="P639" s="587">
        <f t="shared" si="54"/>
        <v>0</v>
      </c>
    </row>
    <row r="640" spans="2:16">
      <c r="B640" s="587" t="s">
        <v>868</v>
      </c>
      <c r="C640" s="587" t="s">
        <v>882</v>
      </c>
      <c r="D640" s="587"/>
      <c r="E640" s="587" t="s">
        <v>886</v>
      </c>
      <c r="F640" s="587" t="str">
        <f t="shared" si="56"/>
        <v>Train (TER,..)</v>
      </c>
      <c r="G640" s="587">
        <f t="shared" si="57"/>
        <v>6</v>
      </c>
      <c r="H640" s="587"/>
      <c r="I640" s="587">
        <v>60</v>
      </c>
      <c r="J640" s="587">
        <f t="shared" si="58"/>
        <v>0.34600000000000003</v>
      </c>
      <c r="K640" s="587"/>
      <c r="L640" s="587"/>
      <c r="M640" s="587">
        <f t="shared" si="55"/>
        <v>0</v>
      </c>
      <c r="N640" s="587">
        <f t="shared" si="55"/>
        <v>0</v>
      </c>
      <c r="O640" s="587">
        <f t="shared" si="55"/>
        <v>6</v>
      </c>
      <c r="P640" s="587">
        <f t="shared" si="54"/>
        <v>0</v>
      </c>
    </row>
    <row r="641" spans="2:16">
      <c r="B641" s="587" t="s">
        <v>868</v>
      </c>
      <c r="C641" s="587" t="s">
        <v>875</v>
      </c>
      <c r="D641" s="587" t="s">
        <v>879</v>
      </c>
      <c r="E641" s="587"/>
      <c r="F641" s="587" t="str">
        <f t="shared" si="56"/>
        <v>Voiture (seul(e))</v>
      </c>
      <c r="G641" s="587">
        <f t="shared" si="57"/>
        <v>3</v>
      </c>
      <c r="H641" s="587"/>
      <c r="I641" s="587">
        <v>45</v>
      </c>
      <c r="J641" s="587">
        <f t="shared" si="58"/>
        <v>2.7600000000000002</v>
      </c>
      <c r="K641" s="587"/>
      <c r="L641" s="587"/>
      <c r="M641" s="587">
        <f t="shared" si="55"/>
        <v>0</v>
      </c>
      <c r="N641" s="587">
        <f t="shared" si="55"/>
        <v>3</v>
      </c>
      <c r="O641" s="587">
        <f t="shared" si="55"/>
        <v>0</v>
      </c>
      <c r="P641" s="587">
        <f t="shared" si="54"/>
        <v>0</v>
      </c>
    </row>
    <row r="642" spans="2:16">
      <c r="B642" s="587" t="s">
        <v>868</v>
      </c>
      <c r="C642" s="587" t="s">
        <v>869</v>
      </c>
      <c r="D642" s="587" t="s">
        <v>871</v>
      </c>
      <c r="E642" s="587"/>
      <c r="F642" s="587" t="str">
        <f t="shared" si="56"/>
        <v>Marche à pied (exclusivement sur tout le trajet)</v>
      </c>
      <c r="G642" s="587">
        <f t="shared" si="57"/>
        <v>7</v>
      </c>
      <c r="H642" s="587"/>
      <c r="I642" s="587">
        <v>5</v>
      </c>
      <c r="J642" s="587">
        <f t="shared" si="58"/>
        <v>0</v>
      </c>
      <c r="K642" s="587"/>
      <c r="L642" s="587"/>
      <c r="M642" s="587">
        <f t="shared" si="55"/>
        <v>7</v>
      </c>
      <c r="N642" s="587">
        <f t="shared" si="55"/>
        <v>0</v>
      </c>
      <c r="O642" s="587">
        <f t="shared" si="55"/>
        <v>0</v>
      </c>
      <c r="P642" s="587">
        <f t="shared" si="54"/>
        <v>0</v>
      </c>
    </row>
    <row r="643" spans="2:16">
      <c r="B643" s="587" t="s">
        <v>868</v>
      </c>
      <c r="C643" s="587" t="s">
        <v>869</v>
      </c>
      <c r="D643" s="587" t="s">
        <v>879</v>
      </c>
      <c r="E643" s="587"/>
      <c r="F643" s="587" t="str">
        <f t="shared" si="56"/>
        <v>Voiture (seul(e))</v>
      </c>
      <c r="G643" s="587">
        <f t="shared" si="57"/>
        <v>3</v>
      </c>
      <c r="H643" s="587"/>
      <c r="I643" s="587">
        <v>40</v>
      </c>
      <c r="J643" s="587">
        <f t="shared" si="58"/>
        <v>2.7600000000000002</v>
      </c>
      <c r="K643" s="587"/>
      <c r="L643" s="587"/>
      <c r="M643" s="587">
        <f t="shared" si="55"/>
        <v>3</v>
      </c>
      <c r="N643" s="587">
        <f t="shared" si="55"/>
        <v>0</v>
      </c>
      <c r="O643" s="587">
        <f t="shared" si="55"/>
        <v>0</v>
      </c>
      <c r="P643" s="587">
        <f t="shared" si="54"/>
        <v>0</v>
      </c>
    </row>
    <row r="644" spans="2:16">
      <c r="B644" s="587" t="s">
        <v>868</v>
      </c>
      <c r="C644" s="587" t="s">
        <v>869</v>
      </c>
      <c r="D644" s="587" t="s">
        <v>871</v>
      </c>
      <c r="E644" s="587"/>
      <c r="F644" s="587" t="str">
        <f t="shared" si="56"/>
        <v>Marche à pied (exclusivement sur tout le trajet)</v>
      </c>
      <c r="G644" s="587">
        <f t="shared" si="57"/>
        <v>7</v>
      </c>
      <c r="H644" s="587"/>
      <c r="I644" s="587">
        <v>3</v>
      </c>
      <c r="J644" s="587">
        <f t="shared" si="58"/>
        <v>0</v>
      </c>
      <c r="K644" s="587"/>
      <c r="L644" s="587"/>
      <c r="M644" s="587">
        <f t="shared" si="55"/>
        <v>7</v>
      </c>
      <c r="N644" s="587">
        <f t="shared" si="55"/>
        <v>0</v>
      </c>
      <c r="O644" s="587">
        <f t="shared" si="55"/>
        <v>0</v>
      </c>
      <c r="P644" s="587">
        <f t="shared" si="54"/>
        <v>0</v>
      </c>
    </row>
    <row r="645" spans="2:16">
      <c r="B645" s="587" t="s">
        <v>868</v>
      </c>
      <c r="C645" s="587" t="s">
        <v>875</v>
      </c>
      <c r="D645" s="587" t="s">
        <v>879</v>
      </c>
      <c r="E645" s="587"/>
      <c r="F645" s="587" t="str">
        <f t="shared" si="56"/>
        <v>Voiture (seul(e))</v>
      </c>
      <c r="G645" s="587">
        <f t="shared" si="57"/>
        <v>3</v>
      </c>
      <c r="H645" s="587"/>
      <c r="I645" s="587">
        <v>30</v>
      </c>
      <c r="J645" s="587">
        <f t="shared" si="58"/>
        <v>2.7600000000000002</v>
      </c>
      <c r="K645" s="587"/>
      <c r="L645" s="587"/>
      <c r="M645" s="587">
        <f t="shared" si="55"/>
        <v>0</v>
      </c>
      <c r="N645" s="587">
        <f t="shared" si="55"/>
        <v>3</v>
      </c>
      <c r="O645" s="587">
        <f t="shared" si="55"/>
        <v>0</v>
      </c>
      <c r="P645" s="587">
        <f t="shared" si="54"/>
        <v>0</v>
      </c>
    </row>
    <row r="646" spans="2:16">
      <c r="B646" s="587" t="s">
        <v>868</v>
      </c>
      <c r="C646" s="587" t="s">
        <v>882</v>
      </c>
      <c r="D646" s="587" t="s">
        <v>879</v>
      </c>
      <c r="E646" s="587"/>
      <c r="F646" s="587" t="str">
        <f t="shared" si="56"/>
        <v>Voiture (seul(e))</v>
      </c>
      <c r="G646" s="587">
        <f t="shared" si="57"/>
        <v>3</v>
      </c>
      <c r="H646" s="587"/>
      <c r="I646" s="587">
        <v>40</v>
      </c>
      <c r="J646" s="587">
        <f t="shared" si="58"/>
        <v>2.7600000000000002</v>
      </c>
      <c r="K646" s="587"/>
      <c r="L646" s="587"/>
      <c r="M646" s="587">
        <f t="shared" si="55"/>
        <v>0</v>
      </c>
      <c r="N646" s="587">
        <f t="shared" si="55"/>
        <v>0</v>
      </c>
      <c r="O646" s="587">
        <f t="shared" si="55"/>
        <v>3</v>
      </c>
      <c r="P646" s="587">
        <f t="shared" si="54"/>
        <v>0</v>
      </c>
    </row>
    <row r="647" spans="2:16">
      <c r="B647" s="587" t="s">
        <v>868</v>
      </c>
      <c r="C647" s="587" t="s">
        <v>869</v>
      </c>
      <c r="D647" s="587" t="s">
        <v>871</v>
      </c>
      <c r="E647" s="587"/>
      <c r="F647" s="587" t="str">
        <f t="shared" si="56"/>
        <v>Marche à pied (exclusivement sur tout le trajet)</v>
      </c>
      <c r="G647" s="587">
        <f t="shared" si="57"/>
        <v>7</v>
      </c>
      <c r="H647" s="587"/>
      <c r="I647" s="587">
        <v>3</v>
      </c>
      <c r="J647" s="587">
        <f t="shared" si="58"/>
        <v>0</v>
      </c>
      <c r="K647" s="587"/>
      <c r="L647" s="587"/>
      <c r="M647" s="587">
        <f t="shared" si="55"/>
        <v>7</v>
      </c>
      <c r="N647" s="587">
        <f t="shared" si="55"/>
        <v>0</v>
      </c>
      <c r="O647" s="587">
        <f t="shared" si="55"/>
        <v>0</v>
      </c>
      <c r="P647" s="587">
        <f t="shared" si="54"/>
        <v>0</v>
      </c>
    </row>
    <row r="648" spans="2:16">
      <c r="B648" s="587" t="s">
        <v>868</v>
      </c>
      <c r="C648" s="587" t="s">
        <v>869</v>
      </c>
      <c r="D648" s="587" t="s">
        <v>871</v>
      </c>
      <c r="E648" s="587"/>
      <c r="F648" s="587" t="str">
        <f t="shared" si="56"/>
        <v>Marche à pied (exclusivement sur tout le trajet)</v>
      </c>
      <c r="G648" s="587">
        <f t="shared" si="57"/>
        <v>7</v>
      </c>
      <c r="H648" s="587"/>
      <c r="I648" s="587">
        <v>5</v>
      </c>
      <c r="J648" s="587">
        <f t="shared" si="58"/>
        <v>0</v>
      </c>
      <c r="K648" s="587"/>
      <c r="L648" s="587"/>
      <c r="M648" s="587">
        <f t="shared" si="55"/>
        <v>7</v>
      </c>
      <c r="N648" s="587">
        <f t="shared" si="55"/>
        <v>0</v>
      </c>
      <c r="O648" s="587">
        <f t="shared" si="55"/>
        <v>0</v>
      </c>
      <c r="P648" s="587">
        <f t="shared" si="54"/>
        <v>0</v>
      </c>
    </row>
    <row r="649" spans="2:16">
      <c r="B649" s="587" t="s">
        <v>868</v>
      </c>
      <c r="C649" s="587" t="s">
        <v>875</v>
      </c>
      <c r="D649" s="587" t="s">
        <v>876</v>
      </c>
      <c r="E649" s="587"/>
      <c r="F649" s="587" t="str">
        <f t="shared" si="56"/>
        <v>Trottinette, roller, skateboard,...</v>
      </c>
      <c r="G649" s="587">
        <f t="shared" si="57"/>
        <v>7</v>
      </c>
      <c r="H649" s="587"/>
      <c r="I649" s="587">
        <v>10</v>
      </c>
      <c r="J649" s="587">
        <f t="shared" si="58"/>
        <v>0</v>
      </c>
      <c r="K649" s="587"/>
      <c r="L649" s="587"/>
      <c r="M649" s="587">
        <f t="shared" si="55"/>
        <v>0</v>
      </c>
      <c r="N649" s="587">
        <f t="shared" si="55"/>
        <v>7</v>
      </c>
      <c r="O649" s="587">
        <f t="shared" si="55"/>
        <v>0</v>
      </c>
      <c r="P649" s="587">
        <f t="shared" si="54"/>
        <v>0</v>
      </c>
    </row>
    <row r="650" spans="2:16">
      <c r="B650" s="587" t="s">
        <v>868</v>
      </c>
      <c r="C650" s="587" t="s">
        <v>875</v>
      </c>
      <c r="D650" s="587" t="s">
        <v>871</v>
      </c>
      <c r="E650" s="587"/>
      <c r="F650" s="587" t="str">
        <f t="shared" si="56"/>
        <v>Marche à pied (exclusivement sur tout le trajet)</v>
      </c>
      <c r="G650" s="587">
        <f t="shared" si="57"/>
        <v>7</v>
      </c>
      <c r="H650" s="587"/>
      <c r="I650" s="587">
        <v>25</v>
      </c>
      <c r="J650" s="587">
        <f t="shared" si="58"/>
        <v>0</v>
      </c>
      <c r="K650" s="587"/>
      <c r="L650" s="587"/>
      <c r="M650" s="587">
        <f t="shared" si="55"/>
        <v>0</v>
      </c>
      <c r="N650" s="587">
        <f t="shared" si="55"/>
        <v>7</v>
      </c>
      <c r="O650" s="587">
        <f t="shared" si="55"/>
        <v>0</v>
      </c>
      <c r="P650" s="587">
        <f t="shared" si="54"/>
        <v>0</v>
      </c>
    </row>
    <row r="651" spans="2:16">
      <c r="B651" s="587" t="s">
        <v>868</v>
      </c>
      <c r="C651" s="587" t="s">
        <v>875</v>
      </c>
      <c r="D651" s="587" t="s">
        <v>871</v>
      </c>
      <c r="E651" s="587"/>
      <c r="F651" s="587" t="str">
        <f t="shared" si="56"/>
        <v>Marche à pied (exclusivement sur tout le trajet)</v>
      </c>
      <c r="G651" s="587">
        <f t="shared" si="57"/>
        <v>7</v>
      </c>
      <c r="H651" s="587"/>
      <c r="I651" s="587">
        <v>25</v>
      </c>
      <c r="J651" s="587">
        <f t="shared" si="58"/>
        <v>0</v>
      </c>
      <c r="K651" s="587"/>
      <c r="L651" s="587"/>
      <c r="M651" s="587">
        <f t="shared" si="55"/>
        <v>0</v>
      </c>
      <c r="N651" s="587">
        <f t="shared" si="55"/>
        <v>7</v>
      </c>
      <c r="O651" s="587">
        <f t="shared" si="55"/>
        <v>0</v>
      </c>
      <c r="P651" s="587">
        <f t="shared" si="54"/>
        <v>0</v>
      </c>
    </row>
    <row r="652" spans="2:16">
      <c r="B652" s="587" t="s">
        <v>868</v>
      </c>
      <c r="C652" s="587" t="s">
        <v>869</v>
      </c>
      <c r="D652" s="587" t="s">
        <v>871</v>
      </c>
      <c r="E652" s="587"/>
      <c r="F652" s="587" t="str">
        <f t="shared" si="56"/>
        <v>Marche à pied (exclusivement sur tout le trajet)</v>
      </c>
      <c r="G652" s="587">
        <f t="shared" si="57"/>
        <v>7</v>
      </c>
      <c r="H652" s="587"/>
      <c r="I652" s="587">
        <v>3</v>
      </c>
      <c r="J652" s="587">
        <f t="shared" si="58"/>
        <v>0</v>
      </c>
      <c r="K652" s="587"/>
      <c r="L652" s="587"/>
      <c r="M652" s="587">
        <f t="shared" si="55"/>
        <v>7</v>
      </c>
      <c r="N652" s="587">
        <f t="shared" si="55"/>
        <v>0</v>
      </c>
      <c r="O652" s="587">
        <f t="shared" si="55"/>
        <v>0</v>
      </c>
      <c r="P652" s="587">
        <f t="shared" si="54"/>
        <v>0</v>
      </c>
    </row>
    <row r="653" spans="2:16">
      <c r="B653" s="587" t="s">
        <v>868</v>
      </c>
      <c r="C653" s="587" t="s">
        <v>869</v>
      </c>
      <c r="D653" s="587" t="s">
        <v>872</v>
      </c>
      <c r="E653" s="587"/>
      <c r="F653" s="587" t="str">
        <f t="shared" si="56"/>
        <v>Vélo personnel (y compris vélo à assistance électrique)</v>
      </c>
      <c r="G653" s="587">
        <f t="shared" si="57"/>
        <v>7</v>
      </c>
      <c r="H653" s="587"/>
      <c r="I653" s="587">
        <v>30</v>
      </c>
      <c r="J653" s="587">
        <f t="shared" si="58"/>
        <v>0</v>
      </c>
      <c r="K653" s="587"/>
      <c r="L653" s="587"/>
      <c r="M653" s="587">
        <f t="shared" si="55"/>
        <v>7</v>
      </c>
      <c r="N653" s="587">
        <f t="shared" si="55"/>
        <v>0</v>
      </c>
      <c r="O653" s="587">
        <f t="shared" si="55"/>
        <v>0</v>
      </c>
      <c r="P653" s="587">
        <f t="shared" si="54"/>
        <v>0</v>
      </c>
    </row>
    <row r="654" spans="2:16">
      <c r="B654" s="587" t="s">
        <v>868</v>
      </c>
      <c r="C654" s="587" t="s">
        <v>869</v>
      </c>
      <c r="D654" s="587"/>
      <c r="E654" s="587" t="s">
        <v>878</v>
      </c>
      <c r="F654" s="587" t="str">
        <f t="shared" si="56"/>
        <v>Marche à pied au-delà de 5 minutes</v>
      </c>
      <c r="G654" s="587">
        <f t="shared" si="57"/>
        <v>7</v>
      </c>
      <c r="H654" s="587"/>
      <c r="I654" s="587">
        <v>5</v>
      </c>
      <c r="J654" s="587">
        <f t="shared" si="58"/>
        <v>0</v>
      </c>
      <c r="K654" s="587"/>
      <c r="L654" s="587"/>
      <c r="M654" s="587">
        <f t="shared" si="55"/>
        <v>7</v>
      </c>
      <c r="N654" s="587">
        <f t="shared" si="55"/>
        <v>0</v>
      </c>
      <c r="O654" s="587">
        <f t="shared" si="55"/>
        <v>0</v>
      </c>
      <c r="P654" s="587">
        <f t="shared" si="54"/>
        <v>0</v>
      </c>
    </row>
    <row r="655" spans="2:16">
      <c r="B655" s="587" t="s">
        <v>868</v>
      </c>
      <c r="C655" s="587" t="s">
        <v>875</v>
      </c>
      <c r="D655" s="587" t="s">
        <v>871</v>
      </c>
      <c r="E655" s="587"/>
      <c r="F655" s="587" t="str">
        <f t="shared" si="56"/>
        <v>Marche à pied (exclusivement sur tout le trajet)</v>
      </c>
      <c r="G655" s="587">
        <f t="shared" si="57"/>
        <v>7</v>
      </c>
      <c r="H655" s="587"/>
      <c r="I655" s="587">
        <v>15</v>
      </c>
      <c r="J655" s="587">
        <f t="shared" si="58"/>
        <v>0</v>
      </c>
      <c r="K655" s="587"/>
      <c r="L655" s="587"/>
      <c r="M655" s="587">
        <f t="shared" si="55"/>
        <v>0</v>
      </c>
      <c r="N655" s="587">
        <f t="shared" si="55"/>
        <v>7</v>
      </c>
      <c r="O655" s="587">
        <f t="shared" si="55"/>
        <v>0</v>
      </c>
      <c r="P655" s="587">
        <f t="shared" si="54"/>
        <v>0</v>
      </c>
    </row>
    <row r="656" spans="2:16">
      <c r="B656" s="587" t="s">
        <v>868</v>
      </c>
      <c r="C656" s="587" t="s">
        <v>869</v>
      </c>
      <c r="D656" s="587" t="s">
        <v>871</v>
      </c>
      <c r="E656" s="587"/>
      <c r="F656" s="587" t="str">
        <f t="shared" si="56"/>
        <v>Marche à pied (exclusivement sur tout le trajet)</v>
      </c>
      <c r="G656" s="587">
        <f t="shared" si="57"/>
        <v>7</v>
      </c>
      <c r="H656" s="587"/>
      <c r="I656" s="587">
        <v>20</v>
      </c>
      <c r="J656" s="587">
        <f t="shared" si="58"/>
        <v>0</v>
      </c>
      <c r="K656" s="587"/>
      <c r="L656" s="587"/>
      <c r="M656" s="587">
        <f t="shared" si="55"/>
        <v>7</v>
      </c>
      <c r="N656" s="587">
        <f t="shared" si="55"/>
        <v>0</v>
      </c>
      <c r="O656" s="587">
        <f t="shared" si="55"/>
        <v>0</v>
      </c>
      <c r="P656" s="587">
        <f t="shared" si="54"/>
        <v>0</v>
      </c>
    </row>
    <row r="657" spans="2:16">
      <c r="B657" s="587" t="s">
        <v>868</v>
      </c>
      <c r="C657" s="587" t="s">
        <v>869</v>
      </c>
      <c r="D657" s="587" t="s">
        <v>871</v>
      </c>
      <c r="E657" s="587"/>
      <c r="F657" s="587" t="str">
        <f t="shared" si="56"/>
        <v>Marche à pied (exclusivement sur tout le trajet)</v>
      </c>
      <c r="G657" s="587">
        <f t="shared" si="57"/>
        <v>7</v>
      </c>
      <c r="H657" s="587"/>
      <c r="I657" s="587">
        <v>3</v>
      </c>
      <c r="J657" s="587">
        <f t="shared" si="58"/>
        <v>0</v>
      </c>
      <c r="K657" s="587"/>
      <c r="L657" s="587"/>
      <c r="M657" s="587">
        <f t="shared" si="55"/>
        <v>7</v>
      </c>
      <c r="N657" s="587">
        <f t="shared" si="55"/>
        <v>0</v>
      </c>
      <c r="O657" s="587">
        <f t="shared" si="55"/>
        <v>0</v>
      </c>
      <c r="P657" s="587">
        <f t="shared" si="54"/>
        <v>0</v>
      </c>
    </row>
    <row r="658" spans="2:16">
      <c r="B658" s="587" t="s">
        <v>868</v>
      </c>
      <c r="C658" s="587" t="s">
        <v>882</v>
      </c>
      <c r="D658" s="587" t="s">
        <v>879</v>
      </c>
      <c r="E658" s="587"/>
      <c r="F658" s="587" t="str">
        <f t="shared" si="56"/>
        <v>Voiture (seul(e))</v>
      </c>
      <c r="G658" s="587">
        <f t="shared" si="57"/>
        <v>3</v>
      </c>
      <c r="H658" s="587"/>
      <c r="I658" s="587">
        <v>50</v>
      </c>
      <c r="J658" s="587">
        <f t="shared" si="58"/>
        <v>2.7600000000000002</v>
      </c>
      <c r="K658" s="587"/>
      <c r="L658" s="587"/>
      <c r="M658" s="587">
        <f t="shared" si="55"/>
        <v>0</v>
      </c>
      <c r="N658" s="587">
        <f t="shared" si="55"/>
        <v>0</v>
      </c>
      <c r="O658" s="587">
        <f t="shared" si="55"/>
        <v>3</v>
      </c>
      <c r="P658" s="587">
        <f t="shared" si="54"/>
        <v>0</v>
      </c>
    </row>
    <row r="659" spans="2:16">
      <c r="B659" s="587" t="s">
        <v>868</v>
      </c>
      <c r="C659" s="587" t="s">
        <v>869</v>
      </c>
      <c r="D659" s="587" t="s">
        <v>872</v>
      </c>
      <c r="E659" s="587"/>
      <c r="F659" s="587" t="str">
        <f t="shared" si="56"/>
        <v>Vélo personnel (y compris vélo à assistance électrique)</v>
      </c>
      <c r="G659" s="587">
        <f t="shared" si="57"/>
        <v>7</v>
      </c>
      <c r="H659" s="587"/>
      <c r="I659" s="587">
        <v>3</v>
      </c>
      <c r="J659" s="587">
        <f t="shared" si="58"/>
        <v>0</v>
      </c>
      <c r="K659" s="587"/>
      <c r="L659" s="587"/>
      <c r="M659" s="587">
        <f t="shared" si="55"/>
        <v>7</v>
      </c>
      <c r="N659" s="587">
        <f t="shared" si="55"/>
        <v>0</v>
      </c>
      <c r="O659" s="587">
        <f t="shared" si="55"/>
        <v>0</v>
      </c>
      <c r="P659" s="587">
        <f t="shared" si="54"/>
        <v>0</v>
      </c>
    </row>
    <row r="660" spans="2:16">
      <c r="B660" s="587" t="s">
        <v>868</v>
      </c>
      <c r="C660" s="587" t="s">
        <v>882</v>
      </c>
      <c r="D660" s="587" t="s">
        <v>871</v>
      </c>
      <c r="E660" s="587"/>
      <c r="F660" s="587" t="str">
        <f t="shared" si="56"/>
        <v>Marche à pied (exclusivement sur tout le trajet)</v>
      </c>
      <c r="G660" s="587">
        <f t="shared" si="57"/>
        <v>7</v>
      </c>
      <c r="H660" s="587"/>
      <c r="I660" s="587">
        <v>25</v>
      </c>
      <c r="J660" s="587">
        <f t="shared" si="58"/>
        <v>0</v>
      </c>
      <c r="K660" s="587"/>
      <c r="L660" s="587"/>
      <c r="M660" s="587">
        <f t="shared" si="55"/>
        <v>0</v>
      </c>
      <c r="N660" s="587">
        <f t="shared" si="55"/>
        <v>0</v>
      </c>
      <c r="O660" s="587">
        <f t="shared" si="55"/>
        <v>7</v>
      </c>
      <c r="P660" s="587">
        <f t="shared" si="54"/>
        <v>0</v>
      </c>
    </row>
    <row r="661" spans="2:16">
      <c r="B661" s="587" t="s">
        <v>868</v>
      </c>
      <c r="C661" s="587" t="s">
        <v>869</v>
      </c>
      <c r="D661" s="587" t="s">
        <v>871</v>
      </c>
      <c r="E661" s="587"/>
      <c r="F661" s="587" t="str">
        <f t="shared" si="56"/>
        <v>Marche à pied (exclusivement sur tout le trajet)</v>
      </c>
      <c r="G661" s="587">
        <f t="shared" si="57"/>
        <v>7</v>
      </c>
      <c r="H661" s="587"/>
      <c r="I661" s="587">
        <v>10</v>
      </c>
      <c r="J661" s="587">
        <f t="shared" si="58"/>
        <v>0</v>
      </c>
      <c r="K661" s="587"/>
      <c r="L661" s="587"/>
      <c r="M661" s="587">
        <f t="shared" si="55"/>
        <v>7</v>
      </c>
      <c r="N661" s="587">
        <f t="shared" si="55"/>
        <v>0</v>
      </c>
      <c r="O661" s="587">
        <f t="shared" si="55"/>
        <v>0</v>
      </c>
      <c r="P661" s="587">
        <f t="shared" si="54"/>
        <v>0</v>
      </c>
    </row>
    <row r="662" spans="2:16">
      <c r="B662" s="587" t="s">
        <v>868</v>
      </c>
      <c r="C662" s="587" t="s">
        <v>882</v>
      </c>
      <c r="D662" s="587"/>
      <c r="E662" s="587" t="s">
        <v>885</v>
      </c>
      <c r="F662" s="587" t="str">
        <f t="shared" si="56"/>
        <v>Covoiturage (conducteur(trice))</v>
      </c>
      <c r="G662" s="587">
        <f t="shared" si="57"/>
        <v>4</v>
      </c>
      <c r="H662" s="587"/>
      <c r="I662" s="587">
        <v>60</v>
      </c>
      <c r="J662" s="587">
        <f t="shared" si="58"/>
        <v>0.69000000000000006</v>
      </c>
      <c r="K662" s="587"/>
      <c r="L662" s="587"/>
      <c r="M662" s="587">
        <f t="shared" si="55"/>
        <v>0</v>
      </c>
      <c r="N662" s="587">
        <f t="shared" si="55"/>
        <v>0</v>
      </c>
      <c r="O662" s="587">
        <f t="shared" si="55"/>
        <v>4</v>
      </c>
      <c r="P662" s="587">
        <f t="shared" si="54"/>
        <v>0</v>
      </c>
    </row>
    <row r="663" spans="2:16">
      <c r="B663" s="587" t="s">
        <v>868</v>
      </c>
      <c r="C663" s="587" t="s">
        <v>869</v>
      </c>
      <c r="D663" s="587"/>
      <c r="E663" s="587" t="s">
        <v>878</v>
      </c>
      <c r="F663" s="587" t="str">
        <f t="shared" si="56"/>
        <v>Marche à pied au-delà de 5 minutes</v>
      </c>
      <c r="G663" s="587">
        <f t="shared" si="57"/>
        <v>7</v>
      </c>
      <c r="H663" s="587"/>
      <c r="I663" s="587">
        <v>45</v>
      </c>
      <c r="J663" s="587">
        <f t="shared" si="58"/>
        <v>0</v>
      </c>
      <c r="K663" s="587"/>
      <c r="L663" s="587"/>
      <c r="M663" s="587">
        <f t="shared" si="55"/>
        <v>7</v>
      </c>
      <c r="N663" s="587">
        <f t="shared" si="55"/>
        <v>0</v>
      </c>
      <c r="O663" s="587">
        <f t="shared" si="55"/>
        <v>0</v>
      </c>
      <c r="P663" s="587">
        <f t="shared" si="54"/>
        <v>0</v>
      </c>
    </row>
    <row r="664" spans="2:16">
      <c r="B664" s="587" t="s">
        <v>868</v>
      </c>
      <c r="C664" s="587" t="s">
        <v>869</v>
      </c>
      <c r="D664" s="587"/>
      <c r="E664" s="587" t="s">
        <v>878</v>
      </c>
      <c r="F664" s="587" t="str">
        <f t="shared" si="56"/>
        <v>Marche à pied au-delà de 5 minutes</v>
      </c>
      <c r="G664" s="587">
        <f t="shared" si="57"/>
        <v>7</v>
      </c>
      <c r="H664" s="587"/>
      <c r="I664" s="587">
        <v>10</v>
      </c>
      <c r="J664" s="587">
        <f t="shared" si="58"/>
        <v>0</v>
      </c>
      <c r="K664" s="587"/>
      <c r="L664" s="587"/>
      <c r="M664" s="587">
        <f t="shared" si="55"/>
        <v>7</v>
      </c>
      <c r="N664" s="587">
        <f t="shared" si="55"/>
        <v>0</v>
      </c>
      <c r="O664" s="587">
        <f t="shared" si="55"/>
        <v>0</v>
      </c>
      <c r="P664" s="587">
        <f t="shared" si="54"/>
        <v>0</v>
      </c>
    </row>
    <row r="665" spans="2:16">
      <c r="B665" s="587" t="s">
        <v>868</v>
      </c>
      <c r="C665" s="587" t="s">
        <v>869</v>
      </c>
      <c r="D665" s="587" t="s">
        <v>871</v>
      </c>
      <c r="E665" s="587"/>
      <c r="F665" s="587" t="str">
        <f t="shared" si="56"/>
        <v>Marche à pied (exclusivement sur tout le trajet)</v>
      </c>
      <c r="G665" s="587">
        <f t="shared" si="57"/>
        <v>7</v>
      </c>
      <c r="H665" s="587"/>
      <c r="I665" s="587">
        <v>15</v>
      </c>
      <c r="J665" s="587">
        <f t="shared" si="58"/>
        <v>0</v>
      </c>
      <c r="K665" s="587"/>
      <c r="L665" s="587"/>
      <c r="M665" s="587">
        <f t="shared" si="55"/>
        <v>7</v>
      </c>
      <c r="N665" s="587">
        <f t="shared" si="55"/>
        <v>0</v>
      </c>
      <c r="O665" s="587">
        <f t="shared" si="55"/>
        <v>0</v>
      </c>
      <c r="P665" s="587">
        <f t="shared" si="55"/>
        <v>0</v>
      </c>
    </row>
    <row r="666" spans="2:16">
      <c r="B666" s="587" t="s">
        <v>868</v>
      </c>
      <c r="C666" s="587" t="s">
        <v>869</v>
      </c>
      <c r="D666" s="587" t="s">
        <v>876</v>
      </c>
      <c r="E666" s="587"/>
      <c r="F666" s="587" t="str">
        <f t="shared" si="56"/>
        <v>Trottinette, roller, skateboard,...</v>
      </c>
      <c r="G666" s="587">
        <f t="shared" si="57"/>
        <v>7</v>
      </c>
      <c r="H666" s="587"/>
      <c r="I666" s="587">
        <v>15</v>
      </c>
      <c r="J666" s="587">
        <f t="shared" si="58"/>
        <v>0</v>
      </c>
      <c r="K666" s="587"/>
      <c r="L666" s="587"/>
      <c r="M666" s="587">
        <f t="shared" ref="M666:P729" si="59">IF($C666=M$27,$G666,0)</f>
        <v>7</v>
      </c>
      <c r="N666" s="587">
        <f t="shared" si="59"/>
        <v>0</v>
      </c>
      <c r="O666" s="587">
        <f t="shared" si="59"/>
        <v>0</v>
      </c>
      <c r="P666" s="587">
        <f t="shared" si="59"/>
        <v>0</v>
      </c>
    </row>
    <row r="667" spans="2:16">
      <c r="B667" s="587" t="s">
        <v>868</v>
      </c>
      <c r="C667" s="587" t="s">
        <v>875</v>
      </c>
      <c r="D667" s="587" t="s">
        <v>872</v>
      </c>
      <c r="E667" s="587"/>
      <c r="F667" s="587" t="str">
        <f t="shared" si="56"/>
        <v>Vélo personnel (y compris vélo à assistance électrique)</v>
      </c>
      <c r="G667" s="587">
        <f t="shared" si="57"/>
        <v>7</v>
      </c>
      <c r="H667" s="587"/>
      <c r="I667" s="587">
        <v>30</v>
      </c>
      <c r="J667" s="587">
        <f t="shared" si="58"/>
        <v>0</v>
      </c>
      <c r="K667" s="587"/>
      <c r="L667" s="587"/>
      <c r="M667" s="587">
        <f t="shared" si="59"/>
        <v>0</v>
      </c>
      <c r="N667" s="587">
        <f t="shared" si="59"/>
        <v>7</v>
      </c>
      <c r="O667" s="587">
        <f t="shared" si="59"/>
        <v>0</v>
      </c>
      <c r="P667" s="587">
        <f t="shared" si="59"/>
        <v>0</v>
      </c>
    </row>
    <row r="668" spans="2:16">
      <c r="B668" s="587" t="s">
        <v>868</v>
      </c>
      <c r="C668" s="587" t="s">
        <v>869</v>
      </c>
      <c r="D668" s="587" t="s">
        <v>871</v>
      </c>
      <c r="E668" s="587"/>
      <c r="F668" s="587" t="str">
        <f t="shared" si="56"/>
        <v>Marche à pied (exclusivement sur tout le trajet)</v>
      </c>
      <c r="G668" s="587">
        <f t="shared" si="57"/>
        <v>7</v>
      </c>
      <c r="H668" s="587"/>
      <c r="I668" s="587">
        <v>5</v>
      </c>
      <c r="J668" s="587">
        <f t="shared" si="58"/>
        <v>0</v>
      </c>
      <c r="K668" s="587"/>
      <c r="L668" s="587"/>
      <c r="M668" s="587">
        <f t="shared" si="59"/>
        <v>7</v>
      </c>
      <c r="N668" s="587">
        <f t="shared" si="59"/>
        <v>0</v>
      </c>
      <c r="O668" s="587">
        <f t="shared" si="59"/>
        <v>0</v>
      </c>
      <c r="P668" s="587">
        <f t="shared" si="59"/>
        <v>0</v>
      </c>
    </row>
    <row r="669" spans="2:16">
      <c r="B669" s="587" t="s">
        <v>868</v>
      </c>
      <c r="C669" s="587" t="s">
        <v>882</v>
      </c>
      <c r="D669" s="587" t="s">
        <v>879</v>
      </c>
      <c r="E669" s="587"/>
      <c r="F669" s="587" t="str">
        <f t="shared" si="56"/>
        <v>Voiture (seul(e))</v>
      </c>
      <c r="G669" s="587">
        <f t="shared" si="57"/>
        <v>3</v>
      </c>
      <c r="H669" s="587"/>
      <c r="I669" s="587">
        <v>55</v>
      </c>
      <c r="J669" s="587">
        <f t="shared" si="58"/>
        <v>2.7600000000000002</v>
      </c>
      <c r="K669" s="587"/>
      <c r="L669" s="587"/>
      <c r="M669" s="587">
        <f t="shared" si="59"/>
        <v>0</v>
      </c>
      <c r="N669" s="587">
        <f t="shared" si="59"/>
        <v>0</v>
      </c>
      <c r="O669" s="587">
        <f t="shared" si="59"/>
        <v>3</v>
      </c>
      <c r="P669" s="587">
        <f t="shared" si="59"/>
        <v>0</v>
      </c>
    </row>
    <row r="670" spans="2:16">
      <c r="B670" s="587" t="s">
        <v>868</v>
      </c>
      <c r="C670" s="587" t="s">
        <v>875</v>
      </c>
      <c r="D670" s="587" t="s">
        <v>879</v>
      </c>
      <c r="E670" s="587"/>
      <c r="F670" s="587" t="str">
        <f t="shared" si="56"/>
        <v>Voiture (seul(e))</v>
      </c>
      <c r="G670" s="587">
        <f t="shared" si="57"/>
        <v>3</v>
      </c>
      <c r="H670" s="587"/>
      <c r="I670" s="587">
        <v>50</v>
      </c>
      <c r="J670" s="587">
        <f t="shared" si="58"/>
        <v>2.7600000000000002</v>
      </c>
      <c r="K670" s="587"/>
      <c r="L670" s="587"/>
      <c r="M670" s="587">
        <f t="shared" si="59"/>
        <v>0</v>
      </c>
      <c r="N670" s="587">
        <f t="shared" si="59"/>
        <v>3</v>
      </c>
      <c r="O670" s="587">
        <f t="shared" si="59"/>
        <v>0</v>
      </c>
      <c r="P670" s="587">
        <f t="shared" si="59"/>
        <v>0</v>
      </c>
    </row>
    <row r="671" spans="2:16">
      <c r="B671" s="587" t="s">
        <v>868</v>
      </c>
      <c r="C671" s="587" t="s">
        <v>869</v>
      </c>
      <c r="D671" s="587" t="s">
        <v>871</v>
      </c>
      <c r="E671" s="587"/>
      <c r="F671" s="587" t="str">
        <f t="shared" si="56"/>
        <v>Marche à pied (exclusivement sur tout le trajet)</v>
      </c>
      <c r="G671" s="587">
        <f t="shared" si="57"/>
        <v>7</v>
      </c>
      <c r="H671" s="587"/>
      <c r="I671" s="587">
        <v>12</v>
      </c>
      <c r="J671" s="587">
        <f t="shared" si="58"/>
        <v>0</v>
      </c>
      <c r="K671" s="587"/>
      <c r="L671" s="587"/>
      <c r="M671" s="587">
        <f t="shared" si="59"/>
        <v>7</v>
      </c>
      <c r="N671" s="587">
        <f t="shared" si="59"/>
        <v>0</v>
      </c>
      <c r="O671" s="587">
        <f t="shared" si="59"/>
        <v>0</v>
      </c>
      <c r="P671" s="587">
        <f t="shared" si="59"/>
        <v>0</v>
      </c>
    </row>
    <row r="672" spans="2:16">
      <c r="B672" s="587" t="s">
        <v>868</v>
      </c>
      <c r="C672" s="587" t="s">
        <v>882</v>
      </c>
      <c r="D672" s="587"/>
      <c r="E672" s="587" t="s">
        <v>879</v>
      </c>
      <c r="F672" s="587" t="str">
        <f t="shared" si="56"/>
        <v>Voiture (seul(e))</v>
      </c>
      <c r="G672" s="587">
        <f t="shared" si="57"/>
        <v>3</v>
      </c>
      <c r="H672" s="587"/>
      <c r="I672" s="587">
        <v>20</v>
      </c>
      <c r="J672" s="587">
        <f t="shared" si="58"/>
        <v>2.7600000000000002</v>
      </c>
      <c r="K672" s="587"/>
      <c r="L672" s="587"/>
      <c r="M672" s="587">
        <f t="shared" si="59"/>
        <v>0</v>
      </c>
      <c r="N672" s="587">
        <f t="shared" si="59"/>
        <v>0</v>
      </c>
      <c r="O672" s="587">
        <f t="shared" si="59"/>
        <v>3</v>
      </c>
      <c r="P672" s="587">
        <f t="shared" si="59"/>
        <v>0</v>
      </c>
    </row>
    <row r="673" spans="2:16">
      <c r="B673" s="587" t="s">
        <v>868</v>
      </c>
      <c r="C673" s="587" t="s">
        <v>869</v>
      </c>
      <c r="D673" s="587" t="s">
        <v>872</v>
      </c>
      <c r="E673" s="587"/>
      <c r="F673" s="587" t="str">
        <f t="shared" si="56"/>
        <v>Vélo personnel (y compris vélo à assistance électrique)</v>
      </c>
      <c r="G673" s="587">
        <f t="shared" si="57"/>
        <v>7</v>
      </c>
      <c r="H673" s="587"/>
      <c r="I673" s="587">
        <v>10</v>
      </c>
      <c r="J673" s="587">
        <f t="shared" si="58"/>
        <v>0</v>
      </c>
      <c r="K673" s="587"/>
      <c r="L673" s="587"/>
      <c r="M673" s="587">
        <f t="shared" si="59"/>
        <v>7</v>
      </c>
      <c r="N673" s="587">
        <f t="shared" si="59"/>
        <v>0</v>
      </c>
      <c r="O673" s="587">
        <f t="shared" si="59"/>
        <v>0</v>
      </c>
      <c r="P673" s="587">
        <f t="shared" si="59"/>
        <v>0</v>
      </c>
    </row>
    <row r="674" spans="2:16">
      <c r="B674" s="587" t="s">
        <v>868</v>
      </c>
      <c r="C674" s="587" t="s">
        <v>875</v>
      </c>
      <c r="D674" s="587"/>
      <c r="E674" s="587" t="s">
        <v>879</v>
      </c>
      <c r="F674" s="587" t="str">
        <f t="shared" si="56"/>
        <v>Voiture (seul(e))</v>
      </c>
      <c r="G674" s="587">
        <f t="shared" si="57"/>
        <v>3</v>
      </c>
      <c r="H674" s="587"/>
      <c r="I674" s="587">
        <v>65</v>
      </c>
      <c r="J674" s="587">
        <f t="shared" si="58"/>
        <v>2.7600000000000002</v>
      </c>
      <c r="K674" s="587"/>
      <c r="L674" s="587"/>
      <c r="M674" s="587">
        <f t="shared" si="59"/>
        <v>0</v>
      </c>
      <c r="N674" s="587">
        <f t="shared" si="59"/>
        <v>3</v>
      </c>
      <c r="O674" s="587">
        <f t="shared" si="59"/>
        <v>0</v>
      </c>
      <c r="P674" s="587">
        <f t="shared" si="59"/>
        <v>0</v>
      </c>
    </row>
    <row r="675" spans="2:16">
      <c r="B675" s="587" t="s">
        <v>868</v>
      </c>
      <c r="C675" s="587" t="s">
        <v>882</v>
      </c>
      <c r="D675" s="587" t="s">
        <v>879</v>
      </c>
      <c r="E675" s="587"/>
      <c r="F675" s="587" t="str">
        <f t="shared" si="56"/>
        <v>Voiture (seul(e))</v>
      </c>
      <c r="G675" s="587">
        <f t="shared" si="57"/>
        <v>3</v>
      </c>
      <c r="H675" s="587"/>
      <c r="I675" s="587">
        <v>10</v>
      </c>
      <c r="J675" s="587">
        <f t="shared" si="58"/>
        <v>2.7600000000000002</v>
      </c>
      <c r="K675" s="587"/>
      <c r="L675" s="587"/>
      <c r="M675" s="587">
        <f t="shared" si="59"/>
        <v>0</v>
      </c>
      <c r="N675" s="587">
        <f t="shared" si="59"/>
        <v>0</v>
      </c>
      <c r="O675" s="587">
        <f t="shared" si="59"/>
        <v>3</v>
      </c>
      <c r="P675" s="587">
        <f t="shared" si="59"/>
        <v>0</v>
      </c>
    </row>
    <row r="676" spans="2:16">
      <c r="B676" s="587" t="s">
        <v>868</v>
      </c>
      <c r="C676" s="587" t="s">
        <v>882</v>
      </c>
      <c r="D676" s="587" t="s">
        <v>879</v>
      </c>
      <c r="E676" s="587"/>
      <c r="F676" s="587" t="str">
        <f t="shared" si="56"/>
        <v>Voiture (seul(e))</v>
      </c>
      <c r="G676" s="587">
        <f t="shared" si="57"/>
        <v>3</v>
      </c>
      <c r="H676" s="587"/>
      <c r="I676" s="587">
        <v>35</v>
      </c>
      <c r="J676" s="587">
        <f t="shared" si="58"/>
        <v>2.7600000000000002</v>
      </c>
      <c r="K676" s="587"/>
      <c r="L676" s="587"/>
      <c r="M676" s="587">
        <f t="shared" si="59"/>
        <v>0</v>
      </c>
      <c r="N676" s="587">
        <f t="shared" si="59"/>
        <v>0</v>
      </c>
      <c r="O676" s="587">
        <f t="shared" si="59"/>
        <v>3</v>
      </c>
      <c r="P676" s="587">
        <f t="shared" si="59"/>
        <v>0</v>
      </c>
    </row>
    <row r="677" spans="2:16">
      <c r="B677" s="587" t="s">
        <v>868</v>
      </c>
      <c r="C677" s="587" t="s">
        <v>869</v>
      </c>
      <c r="D677" s="587" t="s">
        <v>871</v>
      </c>
      <c r="E677" s="587"/>
      <c r="F677" s="587" t="str">
        <f t="shared" si="56"/>
        <v>Marche à pied (exclusivement sur tout le trajet)</v>
      </c>
      <c r="G677" s="587">
        <f t="shared" si="57"/>
        <v>7</v>
      </c>
      <c r="H677" s="587"/>
      <c r="I677" s="587">
        <v>3</v>
      </c>
      <c r="J677" s="587">
        <f t="shared" si="58"/>
        <v>0</v>
      </c>
      <c r="K677" s="587"/>
      <c r="L677" s="587"/>
      <c r="M677" s="587">
        <f t="shared" si="59"/>
        <v>7</v>
      </c>
      <c r="N677" s="587">
        <f t="shared" si="59"/>
        <v>0</v>
      </c>
      <c r="O677" s="587">
        <f t="shared" si="59"/>
        <v>0</v>
      </c>
      <c r="P677" s="587">
        <f t="shared" si="59"/>
        <v>0</v>
      </c>
    </row>
    <row r="678" spans="2:16">
      <c r="B678" s="587" t="s">
        <v>868</v>
      </c>
      <c r="C678" s="587" t="s">
        <v>869</v>
      </c>
      <c r="D678" s="587" t="s">
        <v>872</v>
      </c>
      <c r="E678" s="587"/>
      <c r="F678" s="587" t="str">
        <f t="shared" si="56"/>
        <v>Vélo personnel (y compris vélo à assistance électrique)</v>
      </c>
      <c r="G678" s="587">
        <f t="shared" si="57"/>
        <v>7</v>
      </c>
      <c r="H678" s="587"/>
      <c r="I678" s="587">
        <v>10</v>
      </c>
      <c r="J678" s="587">
        <f t="shared" si="58"/>
        <v>0</v>
      </c>
      <c r="K678" s="587"/>
      <c r="L678" s="587"/>
      <c r="M678" s="587">
        <f t="shared" si="59"/>
        <v>7</v>
      </c>
      <c r="N678" s="587">
        <f t="shared" si="59"/>
        <v>0</v>
      </c>
      <c r="O678" s="587">
        <f t="shared" si="59"/>
        <v>0</v>
      </c>
      <c r="P678" s="587">
        <f t="shared" si="59"/>
        <v>0</v>
      </c>
    </row>
    <row r="679" spans="2:16">
      <c r="B679" s="587" t="s">
        <v>868</v>
      </c>
      <c r="C679" s="587" t="s">
        <v>882</v>
      </c>
      <c r="D679" s="587" t="s">
        <v>879</v>
      </c>
      <c r="E679" s="587"/>
      <c r="F679" s="587" t="str">
        <f t="shared" si="56"/>
        <v>Voiture (seul(e))</v>
      </c>
      <c r="G679" s="587">
        <f t="shared" si="57"/>
        <v>3</v>
      </c>
      <c r="H679" s="587"/>
      <c r="I679" s="587">
        <v>45</v>
      </c>
      <c r="J679" s="587">
        <f t="shared" si="58"/>
        <v>2.7600000000000002</v>
      </c>
      <c r="K679" s="587"/>
      <c r="L679" s="587"/>
      <c r="M679" s="587">
        <f t="shared" si="59"/>
        <v>0</v>
      </c>
      <c r="N679" s="587">
        <f t="shared" si="59"/>
        <v>0</v>
      </c>
      <c r="O679" s="587">
        <f t="shared" si="59"/>
        <v>3</v>
      </c>
      <c r="P679" s="587">
        <f t="shared" si="59"/>
        <v>0</v>
      </c>
    </row>
    <row r="680" spans="2:16">
      <c r="B680" s="587" t="s">
        <v>868</v>
      </c>
      <c r="C680" s="587" t="s">
        <v>869</v>
      </c>
      <c r="D680" s="587" t="s">
        <v>876</v>
      </c>
      <c r="E680" s="587"/>
      <c r="F680" s="587" t="str">
        <f t="shared" si="56"/>
        <v>Trottinette, roller, skateboard,...</v>
      </c>
      <c r="G680" s="587">
        <f t="shared" si="57"/>
        <v>7</v>
      </c>
      <c r="H680" s="587"/>
      <c r="I680" s="587">
        <v>12</v>
      </c>
      <c r="J680" s="587">
        <f t="shared" si="58"/>
        <v>0</v>
      </c>
      <c r="K680" s="587"/>
      <c r="L680" s="587"/>
      <c r="M680" s="587">
        <f t="shared" si="59"/>
        <v>7</v>
      </c>
      <c r="N680" s="587">
        <f t="shared" si="59"/>
        <v>0</v>
      </c>
      <c r="O680" s="587">
        <f t="shared" si="59"/>
        <v>0</v>
      </c>
      <c r="P680" s="587">
        <f t="shared" si="59"/>
        <v>0</v>
      </c>
    </row>
    <row r="681" spans="2:16">
      <c r="B681" s="587" t="s">
        <v>868</v>
      </c>
      <c r="C681" s="587" t="s">
        <v>869</v>
      </c>
      <c r="D681" s="587" t="s">
        <v>879</v>
      </c>
      <c r="E681" s="587"/>
      <c r="F681" s="587" t="str">
        <f t="shared" si="56"/>
        <v>Voiture (seul(e))</v>
      </c>
      <c r="G681" s="587">
        <f t="shared" si="57"/>
        <v>3</v>
      </c>
      <c r="H681" s="587"/>
      <c r="I681" s="587">
        <v>15</v>
      </c>
      <c r="J681" s="587">
        <f t="shared" si="58"/>
        <v>2.7600000000000002</v>
      </c>
      <c r="K681" s="587"/>
      <c r="L681" s="587"/>
      <c r="M681" s="587">
        <f t="shared" si="59"/>
        <v>3</v>
      </c>
      <c r="N681" s="587">
        <f t="shared" si="59"/>
        <v>0</v>
      </c>
      <c r="O681" s="587">
        <f t="shared" si="59"/>
        <v>0</v>
      </c>
      <c r="P681" s="587">
        <f t="shared" si="59"/>
        <v>0</v>
      </c>
    </row>
    <row r="682" spans="2:16">
      <c r="B682" s="587" t="s">
        <v>868</v>
      </c>
      <c r="C682" s="587" t="s">
        <v>869</v>
      </c>
      <c r="D682" s="587" t="s">
        <v>877</v>
      </c>
      <c r="E682" s="587"/>
      <c r="F682" s="587" t="str">
        <f t="shared" si="56"/>
        <v>Vélo’v</v>
      </c>
      <c r="G682" s="587">
        <f t="shared" si="57"/>
        <v>7</v>
      </c>
      <c r="H682" s="587"/>
      <c r="I682" s="587">
        <v>15</v>
      </c>
      <c r="J682" s="587">
        <f t="shared" si="58"/>
        <v>0</v>
      </c>
      <c r="K682" s="587"/>
      <c r="L682" s="587"/>
      <c r="M682" s="587">
        <f t="shared" si="59"/>
        <v>7</v>
      </c>
      <c r="N682" s="587">
        <f t="shared" si="59"/>
        <v>0</v>
      </c>
      <c r="O682" s="587">
        <f t="shared" si="59"/>
        <v>0</v>
      </c>
      <c r="P682" s="587">
        <f t="shared" si="59"/>
        <v>0</v>
      </c>
    </row>
    <row r="683" spans="2:16">
      <c r="B683" s="587" t="s">
        <v>868</v>
      </c>
      <c r="C683" s="587" t="s">
        <v>875</v>
      </c>
      <c r="D683" s="587" t="s">
        <v>872</v>
      </c>
      <c r="E683" s="587"/>
      <c r="F683" s="587" t="str">
        <f t="shared" si="56"/>
        <v>Vélo personnel (y compris vélo à assistance électrique)</v>
      </c>
      <c r="G683" s="587">
        <f t="shared" si="57"/>
        <v>7</v>
      </c>
      <c r="H683" s="587"/>
      <c r="I683" s="587">
        <v>10</v>
      </c>
      <c r="J683" s="587">
        <f t="shared" si="58"/>
        <v>0</v>
      </c>
      <c r="K683" s="587"/>
      <c r="L683" s="587"/>
      <c r="M683" s="587">
        <f t="shared" si="59"/>
        <v>0</v>
      </c>
      <c r="N683" s="587">
        <f t="shared" si="59"/>
        <v>7</v>
      </c>
      <c r="O683" s="587">
        <f t="shared" si="59"/>
        <v>0</v>
      </c>
      <c r="P683" s="587">
        <f t="shared" si="59"/>
        <v>0</v>
      </c>
    </row>
    <row r="684" spans="2:16">
      <c r="B684" s="587" t="s">
        <v>868</v>
      </c>
      <c r="C684" s="587" t="s">
        <v>869</v>
      </c>
      <c r="D684" s="587" t="s">
        <v>871</v>
      </c>
      <c r="E684" s="587"/>
      <c r="F684" s="587" t="str">
        <f t="shared" si="56"/>
        <v>Marche à pied (exclusivement sur tout le trajet)</v>
      </c>
      <c r="G684" s="587">
        <f t="shared" si="57"/>
        <v>7</v>
      </c>
      <c r="H684" s="587"/>
      <c r="I684" s="587">
        <v>1</v>
      </c>
      <c r="J684" s="587">
        <f t="shared" si="58"/>
        <v>0</v>
      </c>
      <c r="K684" s="587"/>
      <c r="L684" s="587"/>
      <c r="M684" s="587">
        <f t="shared" si="59"/>
        <v>7</v>
      </c>
      <c r="N684" s="587">
        <f t="shared" si="59"/>
        <v>0</v>
      </c>
      <c r="O684" s="587">
        <f t="shared" si="59"/>
        <v>0</v>
      </c>
      <c r="P684" s="587">
        <f t="shared" si="59"/>
        <v>0</v>
      </c>
    </row>
    <row r="685" spans="2:16">
      <c r="B685" s="587" t="s">
        <v>868</v>
      </c>
      <c r="C685" s="587" t="s">
        <v>869</v>
      </c>
      <c r="D685" s="587" t="s">
        <v>873</v>
      </c>
      <c r="E685" s="587"/>
      <c r="F685" s="587" t="str">
        <f t="shared" si="56"/>
        <v>Tramway</v>
      </c>
      <c r="G685" s="587">
        <f t="shared" si="57"/>
        <v>1</v>
      </c>
      <c r="H685" s="587"/>
      <c r="I685" s="587">
        <v>25</v>
      </c>
      <c r="J685" s="587">
        <f t="shared" si="58"/>
        <v>4.8833333333333326E-2</v>
      </c>
      <c r="K685" s="587"/>
      <c r="L685" s="587"/>
      <c r="M685" s="587">
        <f t="shared" si="59"/>
        <v>1</v>
      </c>
      <c r="N685" s="587">
        <f t="shared" si="59"/>
        <v>0</v>
      </c>
      <c r="O685" s="587">
        <f t="shared" si="59"/>
        <v>0</v>
      </c>
      <c r="P685" s="587">
        <f t="shared" si="59"/>
        <v>0</v>
      </c>
    </row>
    <row r="686" spans="2:16">
      <c r="B686" s="587" t="s">
        <v>868</v>
      </c>
      <c r="C686" s="587" t="s">
        <v>875</v>
      </c>
      <c r="D686" s="587"/>
      <c r="E686" s="587" t="s">
        <v>870</v>
      </c>
      <c r="F686" s="587" t="str">
        <f t="shared" si="56"/>
        <v>Métro</v>
      </c>
      <c r="G686" s="587">
        <f t="shared" si="57"/>
        <v>1</v>
      </c>
      <c r="H686" s="587"/>
      <c r="I686" s="587">
        <v>25</v>
      </c>
      <c r="J686" s="587">
        <f t="shared" si="58"/>
        <v>4.8833333333333326E-2</v>
      </c>
      <c r="K686" s="587"/>
      <c r="L686" s="587"/>
      <c r="M686" s="587">
        <f t="shared" si="59"/>
        <v>0</v>
      </c>
      <c r="N686" s="587">
        <f t="shared" si="59"/>
        <v>1</v>
      </c>
      <c r="O686" s="587">
        <f t="shared" si="59"/>
        <v>0</v>
      </c>
      <c r="P686" s="587">
        <f t="shared" si="59"/>
        <v>0</v>
      </c>
    </row>
    <row r="687" spans="2:16">
      <c r="B687" s="587" t="s">
        <v>868</v>
      </c>
      <c r="C687" s="587" t="s">
        <v>869</v>
      </c>
      <c r="D687" s="587" t="s">
        <v>871</v>
      </c>
      <c r="E687" s="587"/>
      <c r="F687" s="587" t="str">
        <f t="shared" si="56"/>
        <v>Marche à pied (exclusivement sur tout le trajet)</v>
      </c>
      <c r="G687" s="587">
        <f t="shared" si="57"/>
        <v>7</v>
      </c>
      <c r="H687" s="587"/>
      <c r="I687" s="587">
        <v>10</v>
      </c>
      <c r="J687" s="587">
        <f t="shared" si="58"/>
        <v>0</v>
      </c>
      <c r="K687" s="587"/>
      <c r="L687" s="587"/>
      <c r="M687" s="587">
        <f t="shared" si="59"/>
        <v>7</v>
      </c>
      <c r="N687" s="587">
        <f t="shared" si="59"/>
        <v>0</v>
      </c>
      <c r="O687" s="587">
        <f t="shared" si="59"/>
        <v>0</v>
      </c>
      <c r="P687" s="587">
        <f t="shared" si="59"/>
        <v>0</v>
      </c>
    </row>
    <row r="688" spans="2:16">
      <c r="B688" s="587" t="s">
        <v>868</v>
      </c>
      <c r="C688" s="587" t="s">
        <v>869</v>
      </c>
      <c r="D688" s="587" t="s">
        <v>871</v>
      </c>
      <c r="E688" s="587"/>
      <c r="F688" s="587" t="str">
        <f t="shared" ref="F688:F751" si="60">IF(D688="",E688,D688)</f>
        <v>Marche à pied (exclusivement sur tout le trajet)</v>
      </c>
      <c r="G688" s="587">
        <f t="shared" ref="G688:G751" si="61">IF(F688="Métro",1,IF(F688="Tramway",1,IF(F688="Vélo'v",7,IF(F688="Marche à pied (exclusivement sur tout le trajet)",7,IF(F688="Vélo personnel (y compris vélo à assistance électrique)",7,IF(F688="Trottinette, roller, skateboard,…",7,IF(F688="Marche à pied au-delà de 5 minutes",7,IF(F688="Voiture (seul(e))",3,IF(F688="Bus",2,IF(F688="Trottinette, roller, skateboard au-delà de 5 minutes",7,IF(F688="Covoiturage (passager(ère))",4,IF(F688="Trottinette, roller, skateboard,...",7,IF(F688="Vélo’v",7,IF(F688="Train (TER,TGV,...)",6,IF(F688="Deux roues motorisées (moto, scooter, mobylette,…)",5,IF(F688="Covoiturage (conducteur(trice))",4,IF(F688="Train (TER,..)",6,0)))))))))))))))))</f>
        <v>7</v>
      </c>
      <c r="H688" s="587"/>
      <c r="I688" s="587">
        <v>6</v>
      </c>
      <c r="J688" s="587">
        <f t="shared" ref="J688:J751" si="62">IF(G688=1,$C$6*($I$28*$K$6)/$J$6,IF(G688=2,$C$7*($I$28*$K$7)/$J$7,IF(G688=3,$C$8*$I$28*$K$8/$J$8,IF(G688=4,$C$9*$I$28*$K$9/$J$9,IF(G688=5,$C$10*$I$28*$K$10/$J$10,IF(G688=6,$C$11*$K$11*$I$28/$J$11,0))))))</f>
        <v>0</v>
      </c>
      <c r="K688" s="587"/>
      <c r="L688" s="587"/>
      <c r="M688" s="587">
        <f t="shared" si="59"/>
        <v>7</v>
      </c>
      <c r="N688" s="587">
        <f t="shared" si="59"/>
        <v>0</v>
      </c>
      <c r="O688" s="587">
        <f t="shared" si="59"/>
        <v>0</v>
      </c>
      <c r="P688" s="587">
        <f t="shared" si="59"/>
        <v>0</v>
      </c>
    </row>
    <row r="689" spans="2:16">
      <c r="B689" s="587" t="s">
        <v>868</v>
      </c>
      <c r="C689" s="587" t="s">
        <v>869</v>
      </c>
      <c r="D689" s="587" t="s">
        <v>871</v>
      </c>
      <c r="E689" s="587"/>
      <c r="F689" s="587" t="str">
        <f t="shared" si="60"/>
        <v>Marche à pied (exclusivement sur tout le trajet)</v>
      </c>
      <c r="G689" s="587">
        <f t="shared" si="61"/>
        <v>7</v>
      </c>
      <c r="H689" s="587"/>
      <c r="I689" s="587">
        <v>15</v>
      </c>
      <c r="J689" s="587">
        <f t="shared" si="62"/>
        <v>0</v>
      </c>
      <c r="K689" s="587"/>
      <c r="L689" s="587"/>
      <c r="M689" s="587">
        <f t="shared" si="59"/>
        <v>7</v>
      </c>
      <c r="N689" s="587">
        <f t="shared" si="59"/>
        <v>0</v>
      </c>
      <c r="O689" s="587">
        <f t="shared" si="59"/>
        <v>0</v>
      </c>
      <c r="P689" s="587">
        <f t="shared" si="59"/>
        <v>0</v>
      </c>
    </row>
    <row r="690" spans="2:16">
      <c r="B690" s="587" t="s">
        <v>868</v>
      </c>
      <c r="C690" s="587" t="s">
        <v>875</v>
      </c>
      <c r="D690" s="587" t="s">
        <v>872</v>
      </c>
      <c r="E690" s="587"/>
      <c r="F690" s="587" t="str">
        <f t="shared" si="60"/>
        <v>Vélo personnel (y compris vélo à assistance électrique)</v>
      </c>
      <c r="G690" s="587">
        <f t="shared" si="61"/>
        <v>7</v>
      </c>
      <c r="H690" s="587"/>
      <c r="I690" s="587">
        <v>20</v>
      </c>
      <c r="J690" s="587">
        <f t="shared" si="62"/>
        <v>0</v>
      </c>
      <c r="K690" s="587"/>
      <c r="L690" s="587"/>
      <c r="M690" s="587">
        <f t="shared" si="59"/>
        <v>0</v>
      </c>
      <c r="N690" s="587">
        <f t="shared" si="59"/>
        <v>7</v>
      </c>
      <c r="O690" s="587">
        <f t="shared" si="59"/>
        <v>0</v>
      </c>
      <c r="P690" s="587">
        <f t="shared" si="59"/>
        <v>0</v>
      </c>
    </row>
    <row r="691" spans="2:16">
      <c r="B691" s="587" t="s">
        <v>868</v>
      </c>
      <c r="C691" s="587" t="s">
        <v>875</v>
      </c>
      <c r="D691" s="587" t="s">
        <v>879</v>
      </c>
      <c r="E691" s="587"/>
      <c r="F691" s="587" t="str">
        <f t="shared" si="60"/>
        <v>Voiture (seul(e))</v>
      </c>
      <c r="G691" s="587">
        <f t="shared" si="61"/>
        <v>3</v>
      </c>
      <c r="H691" s="587"/>
      <c r="I691" s="587">
        <v>15</v>
      </c>
      <c r="J691" s="587">
        <f t="shared" si="62"/>
        <v>2.7600000000000002</v>
      </c>
      <c r="K691" s="587"/>
      <c r="L691" s="587"/>
      <c r="M691" s="587">
        <f t="shared" si="59"/>
        <v>0</v>
      </c>
      <c r="N691" s="587">
        <f t="shared" si="59"/>
        <v>3</v>
      </c>
      <c r="O691" s="587">
        <f t="shared" si="59"/>
        <v>0</v>
      </c>
      <c r="P691" s="587">
        <f t="shared" si="59"/>
        <v>0</v>
      </c>
    </row>
    <row r="692" spans="2:16">
      <c r="B692" s="587" t="s">
        <v>868</v>
      </c>
      <c r="C692" s="587" t="s">
        <v>869</v>
      </c>
      <c r="D692" s="587" t="s">
        <v>871</v>
      </c>
      <c r="E692" s="587"/>
      <c r="F692" s="587" t="str">
        <f t="shared" si="60"/>
        <v>Marche à pied (exclusivement sur tout le trajet)</v>
      </c>
      <c r="G692" s="587">
        <f t="shared" si="61"/>
        <v>7</v>
      </c>
      <c r="H692" s="587"/>
      <c r="I692" s="587">
        <v>15</v>
      </c>
      <c r="J692" s="587">
        <f t="shared" si="62"/>
        <v>0</v>
      </c>
      <c r="K692" s="587"/>
      <c r="L692" s="587"/>
      <c r="M692" s="587">
        <f t="shared" si="59"/>
        <v>7</v>
      </c>
      <c r="N692" s="587">
        <f t="shared" si="59"/>
        <v>0</v>
      </c>
      <c r="O692" s="587">
        <f t="shared" si="59"/>
        <v>0</v>
      </c>
      <c r="P692" s="587">
        <f t="shared" si="59"/>
        <v>0</v>
      </c>
    </row>
    <row r="693" spans="2:16">
      <c r="B693" s="587" t="s">
        <v>868</v>
      </c>
      <c r="C693" s="587" t="s">
        <v>869</v>
      </c>
      <c r="D693" s="587" t="s">
        <v>871</v>
      </c>
      <c r="E693" s="587"/>
      <c r="F693" s="587" t="str">
        <f t="shared" si="60"/>
        <v>Marche à pied (exclusivement sur tout le trajet)</v>
      </c>
      <c r="G693" s="587">
        <f t="shared" si="61"/>
        <v>7</v>
      </c>
      <c r="H693" s="587"/>
      <c r="I693" s="587">
        <v>2</v>
      </c>
      <c r="J693" s="587">
        <f t="shared" si="62"/>
        <v>0</v>
      </c>
      <c r="K693" s="587"/>
      <c r="L693" s="587"/>
      <c r="M693" s="587">
        <f t="shared" si="59"/>
        <v>7</v>
      </c>
      <c r="N693" s="587">
        <f t="shared" si="59"/>
        <v>0</v>
      </c>
      <c r="O693" s="587">
        <f t="shared" si="59"/>
        <v>0</v>
      </c>
      <c r="P693" s="587">
        <f t="shared" si="59"/>
        <v>0</v>
      </c>
    </row>
    <row r="694" spans="2:16">
      <c r="B694" s="587" t="s">
        <v>868</v>
      </c>
      <c r="C694" s="587" t="s">
        <v>869</v>
      </c>
      <c r="D694" s="587" t="s">
        <v>879</v>
      </c>
      <c r="E694" s="587"/>
      <c r="F694" s="587" t="str">
        <f t="shared" si="60"/>
        <v>Voiture (seul(e))</v>
      </c>
      <c r="G694" s="587">
        <f t="shared" si="61"/>
        <v>3</v>
      </c>
      <c r="H694" s="587"/>
      <c r="I694" s="587">
        <v>5</v>
      </c>
      <c r="J694" s="587">
        <f t="shared" si="62"/>
        <v>2.7600000000000002</v>
      </c>
      <c r="K694" s="587"/>
      <c r="L694" s="587"/>
      <c r="M694" s="587">
        <f t="shared" si="59"/>
        <v>3</v>
      </c>
      <c r="N694" s="587">
        <f t="shared" si="59"/>
        <v>0</v>
      </c>
      <c r="O694" s="587">
        <f t="shared" si="59"/>
        <v>0</v>
      </c>
      <c r="P694" s="587">
        <f t="shared" si="59"/>
        <v>0</v>
      </c>
    </row>
    <row r="695" spans="2:16">
      <c r="B695" s="587" t="s">
        <v>868</v>
      </c>
      <c r="C695" s="587" t="s">
        <v>882</v>
      </c>
      <c r="D695" s="587" t="s">
        <v>848</v>
      </c>
      <c r="E695" s="587"/>
      <c r="F695" s="587" t="str">
        <f t="shared" si="60"/>
        <v>Bus</v>
      </c>
      <c r="G695" s="587">
        <f t="shared" si="61"/>
        <v>2</v>
      </c>
      <c r="H695" s="587"/>
      <c r="I695" s="587">
        <v>10</v>
      </c>
      <c r="J695" s="587">
        <f t="shared" si="62"/>
        <v>1.29</v>
      </c>
      <c r="K695" s="587"/>
      <c r="L695" s="587"/>
      <c r="M695" s="587">
        <f t="shared" si="59"/>
        <v>0</v>
      </c>
      <c r="N695" s="587">
        <f t="shared" si="59"/>
        <v>0</v>
      </c>
      <c r="O695" s="587">
        <f t="shared" si="59"/>
        <v>2</v>
      </c>
      <c r="P695" s="587">
        <f t="shared" si="59"/>
        <v>0</v>
      </c>
    </row>
    <row r="696" spans="2:16">
      <c r="B696" s="587" t="s">
        <v>868</v>
      </c>
      <c r="C696" s="587" t="s">
        <v>875</v>
      </c>
      <c r="D696" s="587" t="s">
        <v>879</v>
      </c>
      <c r="E696" s="587"/>
      <c r="F696" s="587" t="str">
        <f t="shared" si="60"/>
        <v>Voiture (seul(e))</v>
      </c>
      <c r="G696" s="587">
        <f t="shared" si="61"/>
        <v>3</v>
      </c>
      <c r="H696" s="587"/>
      <c r="I696" s="587">
        <v>20</v>
      </c>
      <c r="J696" s="587">
        <f t="shared" si="62"/>
        <v>2.7600000000000002</v>
      </c>
      <c r="K696" s="587"/>
      <c r="L696" s="587"/>
      <c r="M696" s="587">
        <f t="shared" si="59"/>
        <v>0</v>
      </c>
      <c r="N696" s="587">
        <f t="shared" si="59"/>
        <v>3</v>
      </c>
      <c r="O696" s="587">
        <f t="shared" si="59"/>
        <v>0</v>
      </c>
      <c r="P696" s="587">
        <f t="shared" si="59"/>
        <v>0</v>
      </c>
    </row>
    <row r="697" spans="2:16">
      <c r="B697" s="587" t="s">
        <v>868</v>
      </c>
      <c r="C697" s="587" t="s">
        <v>869</v>
      </c>
      <c r="D697" s="587" t="s">
        <v>873</v>
      </c>
      <c r="E697" s="587"/>
      <c r="F697" s="587" t="str">
        <f t="shared" si="60"/>
        <v>Tramway</v>
      </c>
      <c r="G697" s="587">
        <f t="shared" si="61"/>
        <v>1</v>
      </c>
      <c r="H697" s="587"/>
      <c r="I697" s="587">
        <v>15</v>
      </c>
      <c r="J697" s="587">
        <f t="shared" si="62"/>
        <v>4.8833333333333326E-2</v>
      </c>
      <c r="K697" s="587"/>
      <c r="L697" s="587"/>
      <c r="M697" s="587">
        <f t="shared" si="59"/>
        <v>1</v>
      </c>
      <c r="N697" s="587">
        <f t="shared" si="59"/>
        <v>0</v>
      </c>
      <c r="O697" s="587">
        <f t="shared" si="59"/>
        <v>0</v>
      </c>
      <c r="P697" s="587">
        <f t="shared" si="59"/>
        <v>0</v>
      </c>
    </row>
    <row r="698" spans="2:16">
      <c r="B698" s="587" t="s">
        <v>868</v>
      </c>
      <c r="C698" s="587" t="s">
        <v>869</v>
      </c>
      <c r="D698" s="587"/>
      <c r="E698" s="587" t="s">
        <v>881</v>
      </c>
      <c r="F698" s="587" t="str">
        <f t="shared" si="60"/>
        <v>Trottinette, roller, skateboard au-delà de 5 minutes</v>
      </c>
      <c r="G698" s="587">
        <f t="shared" si="61"/>
        <v>7</v>
      </c>
      <c r="H698" s="587"/>
      <c r="I698" s="587">
        <v>35</v>
      </c>
      <c r="J698" s="587">
        <f t="shared" si="62"/>
        <v>0</v>
      </c>
      <c r="K698" s="587"/>
      <c r="L698" s="587"/>
      <c r="M698" s="587">
        <f t="shared" si="59"/>
        <v>7</v>
      </c>
      <c r="N698" s="587">
        <f t="shared" si="59"/>
        <v>0</v>
      </c>
      <c r="O698" s="587">
        <f t="shared" si="59"/>
        <v>0</v>
      </c>
      <c r="P698" s="587">
        <f t="shared" si="59"/>
        <v>0</v>
      </c>
    </row>
    <row r="699" spans="2:16">
      <c r="B699" s="587" t="s">
        <v>868</v>
      </c>
      <c r="C699" s="587" t="s">
        <v>869</v>
      </c>
      <c r="D699" s="587" t="s">
        <v>872</v>
      </c>
      <c r="E699" s="587"/>
      <c r="F699" s="587" t="str">
        <f t="shared" si="60"/>
        <v>Vélo personnel (y compris vélo à assistance électrique)</v>
      </c>
      <c r="G699" s="587">
        <f t="shared" si="61"/>
        <v>7</v>
      </c>
      <c r="H699" s="587"/>
      <c r="I699" s="587">
        <v>5</v>
      </c>
      <c r="J699" s="587">
        <f t="shared" si="62"/>
        <v>0</v>
      </c>
      <c r="K699" s="587"/>
      <c r="L699" s="587"/>
      <c r="M699" s="587">
        <f t="shared" si="59"/>
        <v>7</v>
      </c>
      <c r="N699" s="587">
        <f t="shared" si="59"/>
        <v>0</v>
      </c>
      <c r="O699" s="587">
        <f t="shared" si="59"/>
        <v>0</v>
      </c>
      <c r="P699" s="587">
        <f t="shared" si="59"/>
        <v>0</v>
      </c>
    </row>
    <row r="700" spans="2:16">
      <c r="B700" s="587" t="s">
        <v>868</v>
      </c>
      <c r="C700" s="587" t="s">
        <v>875</v>
      </c>
      <c r="D700" s="587" t="s">
        <v>848</v>
      </c>
      <c r="E700" s="587"/>
      <c r="F700" s="587" t="str">
        <f t="shared" si="60"/>
        <v>Bus</v>
      </c>
      <c r="G700" s="587">
        <f t="shared" si="61"/>
        <v>2</v>
      </c>
      <c r="H700" s="587"/>
      <c r="I700" s="587">
        <v>25</v>
      </c>
      <c r="J700" s="587">
        <f t="shared" si="62"/>
        <v>1.29</v>
      </c>
      <c r="K700" s="587"/>
      <c r="L700" s="587"/>
      <c r="M700" s="587">
        <f t="shared" si="59"/>
        <v>0</v>
      </c>
      <c r="N700" s="587">
        <f t="shared" si="59"/>
        <v>2</v>
      </c>
      <c r="O700" s="587">
        <f t="shared" si="59"/>
        <v>0</v>
      </c>
      <c r="P700" s="587">
        <f t="shared" si="59"/>
        <v>0</v>
      </c>
    </row>
    <row r="701" spans="2:16">
      <c r="B701" s="587" t="s">
        <v>868</v>
      </c>
      <c r="C701" s="587" t="s">
        <v>869</v>
      </c>
      <c r="D701" s="587" t="s">
        <v>848</v>
      </c>
      <c r="E701" s="587"/>
      <c r="F701" s="587" t="str">
        <f t="shared" si="60"/>
        <v>Bus</v>
      </c>
      <c r="G701" s="587">
        <f t="shared" si="61"/>
        <v>2</v>
      </c>
      <c r="H701" s="587"/>
      <c r="I701" s="587">
        <v>35</v>
      </c>
      <c r="J701" s="587">
        <f t="shared" si="62"/>
        <v>1.29</v>
      </c>
      <c r="K701" s="587"/>
      <c r="L701" s="587"/>
      <c r="M701" s="587">
        <f t="shared" si="59"/>
        <v>2</v>
      </c>
      <c r="N701" s="587">
        <f t="shared" si="59"/>
        <v>0</v>
      </c>
      <c r="O701" s="587">
        <f t="shared" si="59"/>
        <v>0</v>
      </c>
      <c r="P701" s="587">
        <f t="shared" si="59"/>
        <v>0</v>
      </c>
    </row>
    <row r="702" spans="2:16">
      <c r="B702" s="587" t="s">
        <v>868</v>
      </c>
      <c r="C702" s="587" t="s">
        <v>869</v>
      </c>
      <c r="D702" s="587"/>
      <c r="E702" s="587" t="s">
        <v>878</v>
      </c>
      <c r="F702" s="587" t="str">
        <f t="shared" si="60"/>
        <v>Marche à pied au-delà de 5 minutes</v>
      </c>
      <c r="G702" s="587">
        <f t="shared" si="61"/>
        <v>7</v>
      </c>
      <c r="H702" s="587"/>
      <c r="I702" s="587">
        <v>35</v>
      </c>
      <c r="J702" s="587">
        <f t="shared" si="62"/>
        <v>0</v>
      </c>
      <c r="K702" s="587"/>
      <c r="L702" s="587"/>
      <c r="M702" s="587">
        <f t="shared" si="59"/>
        <v>7</v>
      </c>
      <c r="N702" s="587">
        <f t="shared" si="59"/>
        <v>0</v>
      </c>
      <c r="O702" s="587">
        <f t="shared" si="59"/>
        <v>0</v>
      </c>
      <c r="P702" s="587">
        <f t="shared" si="59"/>
        <v>0</v>
      </c>
    </row>
    <row r="703" spans="2:16">
      <c r="B703" s="587" t="s">
        <v>868</v>
      </c>
      <c r="C703" s="587" t="s">
        <v>875</v>
      </c>
      <c r="D703" s="587"/>
      <c r="E703" s="587" t="s">
        <v>879</v>
      </c>
      <c r="F703" s="587" t="str">
        <f t="shared" si="60"/>
        <v>Voiture (seul(e))</v>
      </c>
      <c r="G703" s="587">
        <f t="shared" si="61"/>
        <v>3</v>
      </c>
      <c r="H703" s="587"/>
      <c r="I703" s="587">
        <v>55</v>
      </c>
      <c r="J703" s="587">
        <f t="shared" si="62"/>
        <v>2.7600000000000002</v>
      </c>
      <c r="K703" s="587"/>
      <c r="L703" s="587"/>
      <c r="M703" s="587">
        <f t="shared" si="59"/>
        <v>0</v>
      </c>
      <c r="N703" s="587">
        <f t="shared" si="59"/>
        <v>3</v>
      </c>
      <c r="O703" s="587">
        <f t="shared" si="59"/>
        <v>0</v>
      </c>
      <c r="P703" s="587">
        <f t="shared" si="59"/>
        <v>0</v>
      </c>
    </row>
    <row r="704" spans="2:16">
      <c r="B704" s="587" t="s">
        <v>868</v>
      </c>
      <c r="C704" s="587" t="s">
        <v>869</v>
      </c>
      <c r="D704" s="587" t="s">
        <v>871</v>
      </c>
      <c r="E704" s="587"/>
      <c r="F704" s="587" t="str">
        <f t="shared" si="60"/>
        <v>Marche à pied (exclusivement sur tout le trajet)</v>
      </c>
      <c r="G704" s="587">
        <f t="shared" si="61"/>
        <v>7</v>
      </c>
      <c r="H704" s="587"/>
      <c r="I704" s="587">
        <v>5</v>
      </c>
      <c r="J704" s="587">
        <f t="shared" si="62"/>
        <v>0</v>
      </c>
      <c r="K704" s="587"/>
      <c r="L704" s="587"/>
      <c r="M704" s="587">
        <f t="shared" si="59"/>
        <v>7</v>
      </c>
      <c r="N704" s="587">
        <f t="shared" si="59"/>
        <v>0</v>
      </c>
      <c r="O704" s="587">
        <f t="shared" si="59"/>
        <v>0</v>
      </c>
      <c r="P704" s="587">
        <f t="shared" si="59"/>
        <v>0</v>
      </c>
    </row>
    <row r="705" spans="2:16">
      <c r="B705" s="587" t="s">
        <v>868</v>
      </c>
      <c r="C705" s="587" t="s">
        <v>869</v>
      </c>
      <c r="D705" s="587" t="s">
        <v>872</v>
      </c>
      <c r="E705" s="587"/>
      <c r="F705" s="587" t="str">
        <f t="shared" si="60"/>
        <v>Vélo personnel (y compris vélo à assistance électrique)</v>
      </c>
      <c r="G705" s="587">
        <f t="shared" si="61"/>
        <v>7</v>
      </c>
      <c r="H705" s="587"/>
      <c r="I705" s="587">
        <v>5</v>
      </c>
      <c r="J705" s="587">
        <f t="shared" si="62"/>
        <v>0</v>
      </c>
      <c r="K705" s="587"/>
      <c r="L705" s="587"/>
      <c r="M705" s="587">
        <f t="shared" si="59"/>
        <v>7</v>
      </c>
      <c r="N705" s="587">
        <f t="shared" si="59"/>
        <v>0</v>
      </c>
      <c r="O705" s="587">
        <f t="shared" si="59"/>
        <v>0</v>
      </c>
      <c r="P705" s="587">
        <f t="shared" si="59"/>
        <v>0</v>
      </c>
    </row>
    <row r="706" spans="2:16">
      <c r="B706" s="587" t="s">
        <v>868</v>
      </c>
      <c r="C706" s="587" t="s">
        <v>869</v>
      </c>
      <c r="D706" s="587" t="s">
        <v>872</v>
      </c>
      <c r="E706" s="587"/>
      <c r="F706" s="587" t="str">
        <f t="shared" si="60"/>
        <v>Vélo personnel (y compris vélo à assistance électrique)</v>
      </c>
      <c r="G706" s="587">
        <f t="shared" si="61"/>
        <v>7</v>
      </c>
      <c r="H706" s="587"/>
      <c r="I706" s="587">
        <v>30</v>
      </c>
      <c r="J706" s="587">
        <f t="shared" si="62"/>
        <v>0</v>
      </c>
      <c r="K706" s="587"/>
      <c r="L706" s="587"/>
      <c r="M706" s="587">
        <f t="shared" si="59"/>
        <v>7</v>
      </c>
      <c r="N706" s="587">
        <f t="shared" si="59"/>
        <v>0</v>
      </c>
      <c r="O706" s="587">
        <f t="shared" si="59"/>
        <v>0</v>
      </c>
      <c r="P706" s="587">
        <f t="shared" si="59"/>
        <v>0</v>
      </c>
    </row>
    <row r="707" spans="2:16">
      <c r="B707" s="587" t="s">
        <v>868</v>
      </c>
      <c r="C707" s="587" t="s">
        <v>869</v>
      </c>
      <c r="D707" s="587" t="s">
        <v>871</v>
      </c>
      <c r="E707" s="587"/>
      <c r="F707" s="587" t="str">
        <f t="shared" si="60"/>
        <v>Marche à pied (exclusivement sur tout le trajet)</v>
      </c>
      <c r="G707" s="587">
        <f t="shared" si="61"/>
        <v>7</v>
      </c>
      <c r="H707" s="587"/>
      <c r="I707" s="587">
        <v>2</v>
      </c>
      <c r="J707" s="587">
        <f t="shared" si="62"/>
        <v>0</v>
      </c>
      <c r="K707" s="587"/>
      <c r="L707" s="587"/>
      <c r="M707" s="587">
        <f t="shared" si="59"/>
        <v>7</v>
      </c>
      <c r="N707" s="587">
        <f t="shared" si="59"/>
        <v>0</v>
      </c>
      <c r="O707" s="587">
        <f t="shared" si="59"/>
        <v>0</v>
      </c>
      <c r="P707" s="587">
        <f t="shared" si="59"/>
        <v>0</v>
      </c>
    </row>
    <row r="708" spans="2:16">
      <c r="B708" s="587" t="s">
        <v>868</v>
      </c>
      <c r="C708" s="587" t="s">
        <v>869</v>
      </c>
      <c r="D708" s="587" t="s">
        <v>876</v>
      </c>
      <c r="E708" s="587"/>
      <c r="F708" s="587" t="str">
        <f t="shared" si="60"/>
        <v>Trottinette, roller, skateboard,...</v>
      </c>
      <c r="G708" s="587">
        <f t="shared" si="61"/>
        <v>7</v>
      </c>
      <c r="H708" s="587"/>
      <c r="I708" s="587">
        <v>5</v>
      </c>
      <c r="J708" s="587">
        <f t="shared" si="62"/>
        <v>0</v>
      </c>
      <c r="K708" s="587"/>
      <c r="L708" s="587"/>
      <c r="M708" s="587">
        <f t="shared" si="59"/>
        <v>7</v>
      </c>
      <c r="N708" s="587">
        <f t="shared" si="59"/>
        <v>0</v>
      </c>
      <c r="O708" s="587">
        <f t="shared" si="59"/>
        <v>0</v>
      </c>
      <c r="P708" s="587">
        <f t="shared" si="59"/>
        <v>0</v>
      </c>
    </row>
    <row r="709" spans="2:16">
      <c r="B709" s="587" t="s">
        <v>868</v>
      </c>
      <c r="C709" s="587" t="s">
        <v>869</v>
      </c>
      <c r="D709" s="587" t="s">
        <v>871</v>
      </c>
      <c r="E709" s="587"/>
      <c r="F709" s="587" t="str">
        <f t="shared" si="60"/>
        <v>Marche à pied (exclusivement sur tout le trajet)</v>
      </c>
      <c r="G709" s="587">
        <f t="shared" si="61"/>
        <v>7</v>
      </c>
      <c r="H709" s="587"/>
      <c r="I709" s="587">
        <v>10</v>
      </c>
      <c r="J709" s="587">
        <f t="shared" si="62"/>
        <v>0</v>
      </c>
      <c r="K709" s="587"/>
      <c r="L709" s="587"/>
      <c r="M709" s="587">
        <f t="shared" si="59"/>
        <v>7</v>
      </c>
      <c r="N709" s="587">
        <f t="shared" si="59"/>
        <v>0</v>
      </c>
      <c r="O709" s="587">
        <f t="shared" si="59"/>
        <v>0</v>
      </c>
      <c r="P709" s="587">
        <f t="shared" si="59"/>
        <v>0</v>
      </c>
    </row>
    <row r="710" spans="2:16">
      <c r="B710" s="587" t="s">
        <v>868</v>
      </c>
      <c r="C710" s="587" t="s">
        <v>875</v>
      </c>
      <c r="D710" s="587" t="s">
        <v>872</v>
      </c>
      <c r="E710" s="587"/>
      <c r="F710" s="587" t="str">
        <f t="shared" si="60"/>
        <v>Vélo personnel (y compris vélo à assistance électrique)</v>
      </c>
      <c r="G710" s="587">
        <f t="shared" si="61"/>
        <v>7</v>
      </c>
      <c r="H710" s="587"/>
      <c r="I710" s="587"/>
      <c r="J710" s="587">
        <f t="shared" si="62"/>
        <v>0</v>
      </c>
      <c r="K710" s="587"/>
      <c r="L710" s="587"/>
      <c r="M710" s="587">
        <f t="shared" si="59"/>
        <v>0</v>
      </c>
      <c r="N710" s="587">
        <f t="shared" si="59"/>
        <v>7</v>
      </c>
      <c r="O710" s="587">
        <f t="shared" si="59"/>
        <v>0</v>
      </c>
      <c r="P710" s="587">
        <f t="shared" si="59"/>
        <v>0</v>
      </c>
    </row>
    <row r="711" spans="2:16">
      <c r="B711" s="587" t="s">
        <v>868</v>
      </c>
      <c r="C711" s="587" t="s">
        <v>875</v>
      </c>
      <c r="D711" s="587" t="s">
        <v>879</v>
      </c>
      <c r="E711" s="587"/>
      <c r="F711" s="587" t="str">
        <f t="shared" si="60"/>
        <v>Voiture (seul(e))</v>
      </c>
      <c r="G711" s="587">
        <f t="shared" si="61"/>
        <v>3</v>
      </c>
      <c r="H711" s="587"/>
      <c r="I711" s="587">
        <v>30</v>
      </c>
      <c r="J711" s="587">
        <f t="shared" si="62"/>
        <v>2.7600000000000002</v>
      </c>
      <c r="K711" s="587"/>
      <c r="L711" s="587"/>
      <c r="M711" s="587">
        <f t="shared" si="59"/>
        <v>0</v>
      </c>
      <c r="N711" s="587">
        <f t="shared" si="59"/>
        <v>3</v>
      </c>
      <c r="O711" s="587">
        <f t="shared" si="59"/>
        <v>0</v>
      </c>
      <c r="P711" s="587">
        <f t="shared" si="59"/>
        <v>0</v>
      </c>
    </row>
    <row r="712" spans="2:16">
      <c r="B712" s="587" t="s">
        <v>868</v>
      </c>
      <c r="C712" s="587" t="s">
        <v>869</v>
      </c>
      <c r="D712" s="587" t="s">
        <v>871</v>
      </c>
      <c r="E712" s="587"/>
      <c r="F712" s="587" t="str">
        <f t="shared" si="60"/>
        <v>Marche à pied (exclusivement sur tout le trajet)</v>
      </c>
      <c r="G712" s="587">
        <f t="shared" si="61"/>
        <v>7</v>
      </c>
      <c r="H712" s="587"/>
      <c r="I712" s="587">
        <v>7</v>
      </c>
      <c r="J712" s="587">
        <f t="shared" si="62"/>
        <v>0</v>
      </c>
      <c r="K712" s="587"/>
      <c r="L712" s="587"/>
      <c r="M712" s="587">
        <f t="shared" si="59"/>
        <v>7</v>
      </c>
      <c r="N712" s="587">
        <f t="shared" si="59"/>
        <v>0</v>
      </c>
      <c r="O712" s="587">
        <f t="shared" si="59"/>
        <v>0</v>
      </c>
      <c r="P712" s="587">
        <f t="shared" si="59"/>
        <v>0</v>
      </c>
    </row>
    <row r="713" spans="2:16">
      <c r="B713" s="587" t="s">
        <v>868</v>
      </c>
      <c r="C713" s="587" t="s">
        <v>869</v>
      </c>
      <c r="D713" s="587"/>
      <c r="E713" s="587" t="s">
        <v>870</v>
      </c>
      <c r="F713" s="587" t="str">
        <f t="shared" si="60"/>
        <v>Métro</v>
      </c>
      <c r="G713" s="587">
        <f t="shared" si="61"/>
        <v>1</v>
      </c>
      <c r="H713" s="587"/>
      <c r="I713" s="587">
        <v>25</v>
      </c>
      <c r="J713" s="587">
        <f t="shared" si="62"/>
        <v>4.8833333333333326E-2</v>
      </c>
      <c r="K713" s="587"/>
      <c r="L713" s="587"/>
      <c r="M713" s="587">
        <f t="shared" si="59"/>
        <v>1</v>
      </c>
      <c r="N713" s="587">
        <f t="shared" si="59"/>
        <v>0</v>
      </c>
      <c r="O713" s="587">
        <f t="shared" si="59"/>
        <v>0</v>
      </c>
      <c r="P713" s="587">
        <f t="shared" si="59"/>
        <v>0</v>
      </c>
    </row>
    <row r="714" spans="2:16">
      <c r="B714" s="587" t="s">
        <v>868</v>
      </c>
      <c r="C714" s="587" t="s">
        <v>875</v>
      </c>
      <c r="D714" s="587" t="s">
        <v>885</v>
      </c>
      <c r="E714" s="587"/>
      <c r="F714" s="587" t="str">
        <f t="shared" si="60"/>
        <v>Covoiturage (conducteur(trice))</v>
      </c>
      <c r="G714" s="587">
        <f t="shared" si="61"/>
        <v>4</v>
      </c>
      <c r="H714" s="587"/>
      <c r="I714" s="587">
        <v>20</v>
      </c>
      <c r="J714" s="587">
        <f t="shared" si="62"/>
        <v>0.69000000000000006</v>
      </c>
      <c r="K714" s="587"/>
      <c r="L714" s="587"/>
      <c r="M714" s="587">
        <f t="shared" si="59"/>
        <v>0</v>
      </c>
      <c r="N714" s="587">
        <f t="shared" si="59"/>
        <v>4</v>
      </c>
      <c r="O714" s="587">
        <f t="shared" si="59"/>
        <v>0</v>
      </c>
      <c r="P714" s="587">
        <f t="shared" si="59"/>
        <v>0</v>
      </c>
    </row>
    <row r="715" spans="2:16">
      <c r="B715" s="587" t="s">
        <v>868</v>
      </c>
      <c r="C715" s="587" t="s">
        <v>882</v>
      </c>
      <c r="D715" s="587" t="s">
        <v>879</v>
      </c>
      <c r="E715" s="587"/>
      <c r="F715" s="587" t="str">
        <f t="shared" si="60"/>
        <v>Voiture (seul(e))</v>
      </c>
      <c r="G715" s="587">
        <f t="shared" si="61"/>
        <v>3</v>
      </c>
      <c r="H715" s="587"/>
      <c r="I715" s="587">
        <v>10</v>
      </c>
      <c r="J715" s="587">
        <f t="shared" si="62"/>
        <v>2.7600000000000002</v>
      </c>
      <c r="K715" s="587"/>
      <c r="L715" s="587"/>
      <c r="M715" s="587">
        <f t="shared" si="59"/>
        <v>0</v>
      </c>
      <c r="N715" s="587">
        <f t="shared" si="59"/>
        <v>0</v>
      </c>
      <c r="O715" s="587">
        <f t="shared" si="59"/>
        <v>3</v>
      </c>
      <c r="P715" s="587">
        <f t="shared" si="59"/>
        <v>0</v>
      </c>
    </row>
    <row r="716" spans="2:16">
      <c r="B716" s="587" t="s">
        <v>868</v>
      </c>
      <c r="C716" s="587" t="s">
        <v>869</v>
      </c>
      <c r="D716" s="587" t="s">
        <v>871</v>
      </c>
      <c r="E716" s="587"/>
      <c r="F716" s="587" t="str">
        <f t="shared" si="60"/>
        <v>Marche à pied (exclusivement sur tout le trajet)</v>
      </c>
      <c r="G716" s="587">
        <f t="shared" si="61"/>
        <v>7</v>
      </c>
      <c r="H716" s="587"/>
      <c r="I716" s="587">
        <v>25</v>
      </c>
      <c r="J716" s="587">
        <f t="shared" si="62"/>
        <v>0</v>
      </c>
      <c r="K716" s="587"/>
      <c r="L716" s="587"/>
      <c r="M716" s="587">
        <f t="shared" si="59"/>
        <v>7</v>
      </c>
      <c r="N716" s="587">
        <f t="shared" si="59"/>
        <v>0</v>
      </c>
      <c r="O716" s="587">
        <f t="shared" si="59"/>
        <v>0</v>
      </c>
      <c r="P716" s="587">
        <f t="shared" si="59"/>
        <v>0</v>
      </c>
    </row>
    <row r="717" spans="2:16">
      <c r="B717" s="587" t="s">
        <v>868</v>
      </c>
      <c r="C717" s="587" t="s">
        <v>869</v>
      </c>
      <c r="D717" s="587" t="s">
        <v>871</v>
      </c>
      <c r="E717" s="587"/>
      <c r="F717" s="587" t="str">
        <f t="shared" si="60"/>
        <v>Marche à pied (exclusivement sur tout le trajet)</v>
      </c>
      <c r="G717" s="587">
        <f t="shared" si="61"/>
        <v>7</v>
      </c>
      <c r="H717" s="587"/>
      <c r="I717" s="587">
        <v>15</v>
      </c>
      <c r="J717" s="587">
        <f t="shared" si="62"/>
        <v>0</v>
      </c>
      <c r="K717" s="587"/>
      <c r="L717" s="587"/>
      <c r="M717" s="587">
        <f t="shared" si="59"/>
        <v>7</v>
      </c>
      <c r="N717" s="587">
        <f t="shared" si="59"/>
        <v>0</v>
      </c>
      <c r="O717" s="587">
        <f t="shared" si="59"/>
        <v>0</v>
      </c>
      <c r="P717" s="587">
        <f t="shared" si="59"/>
        <v>0</v>
      </c>
    </row>
    <row r="718" spans="2:16">
      <c r="B718" s="587" t="s">
        <v>868</v>
      </c>
      <c r="C718" s="587" t="s">
        <v>882</v>
      </c>
      <c r="D718" s="587"/>
      <c r="E718" s="587" t="s">
        <v>879</v>
      </c>
      <c r="F718" s="587" t="str">
        <f t="shared" si="60"/>
        <v>Voiture (seul(e))</v>
      </c>
      <c r="G718" s="587">
        <f t="shared" si="61"/>
        <v>3</v>
      </c>
      <c r="H718" s="587"/>
      <c r="I718" s="587">
        <v>60</v>
      </c>
      <c r="J718" s="587">
        <f t="shared" si="62"/>
        <v>2.7600000000000002</v>
      </c>
      <c r="K718" s="587"/>
      <c r="L718" s="587"/>
      <c r="M718" s="587">
        <f t="shared" si="59"/>
        <v>0</v>
      </c>
      <c r="N718" s="587">
        <f t="shared" si="59"/>
        <v>0</v>
      </c>
      <c r="O718" s="587">
        <f t="shared" si="59"/>
        <v>3</v>
      </c>
      <c r="P718" s="587">
        <f t="shared" si="59"/>
        <v>0</v>
      </c>
    </row>
    <row r="719" spans="2:16">
      <c r="B719" s="587" t="s">
        <v>868</v>
      </c>
      <c r="C719" s="587" t="s">
        <v>869</v>
      </c>
      <c r="D719" s="587" t="s">
        <v>877</v>
      </c>
      <c r="E719" s="587"/>
      <c r="F719" s="587" t="str">
        <f t="shared" si="60"/>
        <v>Vélo’v</v>
      </c>
      <c r="G719" s="587">
        <f t="shared" si="61"/>
        <v>7</v>
      </c>
      <c r="H719" s="587"/>
      <c r="I719" s="587">
        <v>25</v>
      </c>
      <c r="J719" s="587">
        <f t="shared" si="62"/>
        <v>0</v>
      </c>
      <c r="K719" s="587"/>
      <c r="L719" s="587"/>
      <c r="M719" s="587">
        <f t="shared" si="59"/>
        <v>7</v>
      </c>
      <c r="N719" s="587">
        <f t="shared" si="59"/>
        <v>0</v>
      </c>
      <c r="O719" s="587">
        <f t="shared" si="59"/>
        <v>0</v>
      </c>
      <c r="P719" s="587">
        <f t="shared" si="59"/>
        <v>0</v>
      </c>
    </row>
    <row r="720" spans="2:16">
      <c r="B720" s="587" t="s">
        <v>868</v>
      </c>
      <c r="C720" s="587" t="s">
        <v>869</v>
      </c>
      <c r="D720" s="587" t="s">
        <v>871</v>
      </c>
      <c r="E720" s="587"/>
      <c r="F720" s="587" t="str">
        <f t="shared" si="60"/>
        <v>Marche à pied (exclusivement sur tout le trajet)</v>
      </c>
      <c r="G720" s="587">
        <f t="shared" si="61"/>
        <v>7</v>
      </c>
      <c r="H720" s="587"/>
      <c r="I720" s="587">
        <v>5</v>
      </c>
      <c r="J720" s="587">
        <f t="shared" si="62"/>
        <v>0</v>
      </c>
      <c r="K720" s="587"/>
      <c r="L720" s="587"/>
      <c r="M720" s="587">
        <f t="shared" si="59"/>
        <v>7</v>
      </c>
      <c r="N720" s="587">
        <f t="shared" si="59"/>
        <v>0</v>
      </c>
      <c r="O720" s="587">
        <f t="shared" si="59"/>
        <v>0</v>
      </c>
      <c r="P720" s="587">
        <f t="shared" si="59"/>
        <v>0</v>
      </c>
    </row>
    <row r="721" spans="2:16">
      <c r="B721" s="587" t="s">
        <v>868</v>
      </c>
      <c r="C721" s="587" t="s">
        <v>869</v>
      </c>
      <c r="D721" s="587" t="s">
        <v>871</v>
      </c>
      <c r="E721" s="587"/>
      <c r="F721" s="587" t="str">
        <f t="shared" si="60"/>
        <v>Marche à pied (exclusivement sur tout le trajet)</v>
      </c>
      <c r="G721" s="587">
        <f t="shared" si="61"/>
        <v>7</v>
      </c>
      <c r="H721" s="587"/>
      <c r="I721" s="587">
        <v>1</v>
      </c>
      <c r="J721" s="587">
        <f t="shared" si="62"/>
        <v>0</v>
      </c>
      <c r="K721" s="587"/>
      <c r="L721" s="587"/>
      <c r="M721" s="587">
        <f t="shared" si="59"/>
        <v>7</v>
      </c>
      <c r="N721" s="587">
        <f t="shared" si="59"/>
        <v>0</v>
      </c>
      <c r="O721" s="587">
        <f t="shared" si="59"/>
        <v>0</v>
      </c>
      <c r="P721" s="587">
        <f t="shared" si="59"/>
        <v>0</v>
      </c>
    </row>
    <row r="722" spans="2:16">
      <c r="B722" s="587" t="s">
        <v>868</v>
      </c>
      <c r="C722" s="587" t="s">
        <v>875</v>
      </c>
      <c r="D722" s="587"/>
      <c r="E722" s="587" t="s">
        <v>879</v>
      </c>
      <c r="F722" s="587" t="str">
        <f t="shared" si="60"/>
        <v>Voiture (seul(e))</v>
      </c>
      <c r="G722" s="587">
        <f t="shared" si="61"/>
        <v>3</v>
      </c>
      <c r="H722" s="587"/>
      <c r="I722" s="587">
        <v>80</v>
      </c>
      <c r="J722" s="587">
        <f t="shared" si="62"/>
        <v>2.7600000000000002</v>
      </c>
      <c r="K722" s="587"/>
      <c r="L722" s="587"/>
      <c r="M722" s="587">
        <f t="shared" si="59"/>
        <v>0</v>
      </c>
      <c r="N722" s="587">
        <f t="shared" si="59"/>
        <v>3</v>
      </c>
      <c r="O722" s="587">
        <f t="shared" si="59"/>
        <v>0</v>
      </c>
      <c r="P722" s="587">
        <f t="shared" si="59"/>
        <v>0</v>
      </c>
    </row>
    <row r="723" spans="2:16">
      <c r="B723" s="587" t="s">
        <v>868</v>
      </c>
      <c r="C723" s="587" t="s">
        <v>875</v>
      </c>
      <c r="D723" s="587" t="s">
        <v>872</v>
      </c>
      <c r="E723" s="587"/>
      <c r="F723" s="587" t="str">
        <f t="shared" si="60"/>
        <v>Vélo personnel (y compris vélo à assistance électrique)</v>
      </c>
      <c r="G723" s="587">
        <f t="shared" si="61"/>
        <v>7</v>
      </c>
      <c r="H723" s="587"/>
      <c r="I723" s="587">
        <v>12</v>
      </c>
      <c r="J723" s="587">
        <f t="shared" si="62"/>
        <v>0</v>
      </c>
      <c r="K723" s="587"/>
      <c r="L723" s="587"/>
      <c r="M723" s="587">
        <f t="shared" si="59"/>
        <v>0</v>
      </c>
      <c r="N723" s="587">
        <f t="shared" si="59"/>
        <v>7</v>
      </c>
      <c r="O723" s="587">
        <f t="shared" si="59"/>
        <v>0</v>
      </c>
      <c r="P723" s="587">
        <f t="shared" si="59"/>
        <v>0</v>
      </c>
    </row>
    <row r="724" spans="2:16">
      <c r="B724" s="587" t="s">
        <v>868</v>
      </c>
      <c r="C724" s="587" t="s">
        <v>869</v>
      </c>
      <c r="D724" s="587" t="s">
        <v>873</v>
      </c>
      <c r="E724" s="587"/>
      <c r="F724" s="587" t="str">
        <f t="shared" si="60"/>
        <v>Tramway</v>
      </c>
      <c r="G724" s="587">
        <f t="shared" si="61"/>
        <v>1</v>
      </c>
      <c r="H724" s="587"/>
      <c r="I724" s="587">
        <v>15</v>
      </c>
      <c r="J724" s="587">
        <f t="shared" si="62"/>
        <v>4.8833333333333326E-2</v>
      </c>
      <c r="K724" s="587"/>
      <c r="L724" s="587"/>
      <c r="M724" s="587">
        <f t="shared" si="59"/>
        <v>1</v>
      </c>
      <c r="N724" s="587">
        <f t="shared" si="59"/>
        <v>0</v>
      </c>
      <c r="O724" s="587">
        <f t="shared" si="59"/>
        <v>0</v>
      </c>
      <c r="P724" s="587">
        <f t="shared" si="59"/>
        <v>0</v>
      </c>
    </row>
    <row r="725" spans="2:16">
      <c r="B725" s="587" t="s">
        <v>868</v>
      </c>
      <c r="C725" s="587" t="s">
        <v>869</v>
      </c>
      <c r="D725" s="587" t="s">
        <v>872</v>
      </c>
      <c r="E725" s="587"/>
      <c r="F725" s="587" t="str">
        <f t="shared" si="60"/>
        <v>Vélo personnel (y compris vélo à assistance électrique)</v>
      </c>
      <c r="G725" s="587">
        <f t="shared" si="61"/>
        <v>7</v>
      </c>
      <c r="H725" s="587"/>
      <c r="I725" s="587">
        <v>15</v>
      </c>
      <c r="J725" s="587">
        <f t="shared" si="62"/>
        <v>0</v>
      </c>
      <c r="K725" s="587"/>
      <c r="L725" s="587"/>
      <c r="M725" s="587">
        <f t="shared" si="59"/>
        <v>7</v>
      </c>
      <c r="N725" s="587">
        <f t="shared" si="59"/>
        <v>0</v>
      </c>
      <c r="O725" s="587">
        <f t="shared" si="59"/>
        <v>0</v>
      </c>
      <c r="P725" s="587">
        <f t="shared" si="59"/>
        <v>0</v>
      </c>
    </row>
    <row r="726" spans="2:16">
      <c r="B726" s="587" t="s">
        <v>868</v>
      </c>
      <c r="C726" s="587" t="s">
        <v>882</v>
      </c>
      <c r="D726" s="587" t="s">
        <v>879</v>
      </c>
      <c r="E726" s="587"/>
      <c r="F726" s="587" t="str">
        <f t="shared" si="60"/>
        <v>Voiture (seul(e))</v>
      </c>
      <c r="G726" s="587">
        <f t="shared" si="61"/>
        <v>3</v>
      </c>
      <c r="H726" s="587"/>
      <c r="I726" s="587">
        <v>10</v>
      </c>
      <c r="J726" s="587">
        <f t="shared" si="62"/>
        <v>2.7600000000000002</v>
      </c>
      <c r="K726" s="587"/>
      <c r="L726" s="587"/>
      <c r="M726" s="587">
        <f t="shared" si="59"/>
        <v>0</v>
      </c>
      <c r="N726" s="587">
        <f t="shared" si="59"/>
        <v>0</v>
      </c>
      <c r="O726" s="587">
        <f t="shared" si="59"/>
        <v>3</v>
      </c>
      <c r="P726" s="587">
        <f t="shared" si="59"/>
        <v>0</v>
      </c>
    </row>
    <row r="727" spans="2:16">
      <c r="B727" s="587" t="s">
        <v>868</v>
      </c>
      <c r="C727" s="587" t="s">
        <v>35</v>
      </c>
      <c r="D727" s="587"/>
      <c r="E727" s="587" t="s">
        <v>872</v>
      </c>
      <c r="F727" s="587" t="str">
        <f t="shared" si="60"/>
        <v>Vélo personnel (y compris vélo à assistance électrique)</v>
      </c>
      <c r="G727" s="587">
        <f t="shared" si="61"/>
        <v>7</v>
      </c>
      <c r="H727" s="587"/>
      <c r="I727" s="587">
        <v>130</v>
      </c>
      <c r="J727" s="587">
        <f t="shared" si="62"/>
        <v>0</v>
      </c>
      <c r="K727" s="587"/>
      <c r="L727" s="587"/>
      <c r="M727" s="587">
        <f t="shared" si="59"/>
        <v>0</v>
      </c>
      <c r="N727" s="587">
        <f t="shared" si="59"/>
        <v>0</v>
      </c>
      <c r="O727" s="587">
        <f t="shared" si="59"/>
        <v>0</v>
      </c>
      <c r="P727" s="587">
        <f t="shared" si="59"/>
        <v>7</v>
      </c>
    </row>
    <row r="728" spans="2:16">
      <c r="B728" s="587" t="s">
        <v>868</v>
      </c>
      <c r="C728" s="587" t="s">
        <v>875</v>
      </c>
      <c r="D728" s="587" t="s">
        <v>879</v>
      </c>
      <c r="E728" s="587"/>
      <c r="F728" s="587" t="str">
        <f t="shared" si="60"/>
        <v>Voiture (seul(e))</v>
      </c>
      <c r="G728" s="587">
        <f t="shared" si="61"/>
        <v>3</v>
      </c>
      <c r="H728" s="587"/>
      <c r="I728" s="587">
        <v>30</v>
      </c>
      <c r="J728" s="587">
        <f t="shared" si="62"/>
        <v>2.7600000000000002</v>
      </c>
      <c r="K728" s="587"/>
      <c r="L728" s="587"/>
      <c r="M728" s="587">
        <f t="shared" si="59"/>
        <v>0</v>
      </c>
      <c r="N728" s="587">
        <f t="shared" si="59"/>
        <v>3</v>
      </c>
      <c r="O728" s="587">
        <f t="shared" si="59"/>
        <v>0</v>
      </c>
      <c r="P728" s="587">
        <f t="shared" si="59"/>
        <v>0</v>
      </c>
    </row>
    <row r="729" spans="2:16">
      <c r="B729" s="587" t="s">
        <v>868</v>
      </c>
      <c r="C729" s="587" t="s">
        <v>35</v>
      </c>
      <c r="D729" s="587"/>
      <c r="E729" s="587" t="s">
        <v>878</v>
      </c>
      <c r="F729" s="587" t="str">
        <f t="shared" si="60"/>
        <v>Marche à pied au-delà de 5 minutes</v>
      </c>
      <c r="G729" s="587">
        <f t="shared" si="61"/>
        <v>7</v>
      </c>
      <c r="H729" s="587"/>
      <c r="I729" s="587">
        <v>17</v>
      </c>
      <c r="J729" s="587">
        <f t="shared" si="62"/>
        <v>0</v>
      </c>
      <c r="K729" s="587"/>
      <c r="L729" s="587"/>
      <c r="M729" s="587">
        <f t="shared" si="59"/>
        <v>0</v>
      </c>
      <c r="N729" s="587">
        <f t="shared" si="59"/>
        <v>0</v>
      </c>
      <c r="O729" s="587">
        <f t="shared" si="59"/>
        <v>0</v>
      </c>
      <c r="P729" s="587">
        <f t="shared" ref="P729:P792" si="63">IF($C729=P$27,$G729,0)</f>
        <v>7</v>
      </c>
    </row>
    <row r="730" spans="2:16">
      <c r="B730" s="587" t="s">
        <v>868</v>
      </c>
      <c r="C730" s="587" t="s">
        <v>869</v>
      </c>
      <c r="D730" s="587" t="s">
        <v>877</v>
      </c>
      <c r="E730" s="587"/>
      <c r="F730" s="587" t="str">
        <f t="shared" si="60"/>
        <v>Vélo’v</v>
      </c>
      <c r="G730" s="587">
        <f t="shared" si="61"/>
        <v>7</v>
      </c>
      <c r="H730" s="587"/>
      <c r="I730" s="587">
        <v>15</v>
      </c>
      <c r="J730" s="587">
        <f t="shared" si="62"/>
        <v>0</v>
      </c>
      <c r="K730" s="587"/>
      <c r="L730" s="587"/>
      <c r="M730" s="587">
        <f t="shared" ref="M730:P793" si="64">IF($C730=M$27,$G730,0)</f>
        <v>7</v>
      </c>
      <c r="N730" s="587">
        <f t="shared" si="64"/>
        <v>0</v>
      </c>
      <c r="O730" s="587">
        <f t="shared" si="64"/>
        <v>0</v>
      </c>
      <c r="P730" s="587">
        <f t="shared" si="63"/>
        <v>0</v>
      </c>
    </row>
    <row r="731" spans="2:16">
      <c r="B731" s="587" t="s">
        <v>868</v>
      </c>
      <c r="C731" s="587" t="s">
        <v>875</v>
      </c>
      <c r="D731" s="587"/>
      <c r="E731" s="587" t="s">
        <v>878</v>
      </c>
      <c r="F731" s="587" t="str">
        <f t="shared" si="60"/>
        <v>Marche à pied au-delà de 5 minutes</v>
      </c>
      <c r="G731" s="587">
        <f t="shared" si="61"/>
        <v>7</v>
      </c>
      <c r="H731" s="587"/>
      <c r="I731" s="587">
        <v>35</v>
      </c>
      <c r="J731" s="587">
        <f t="shared" si="62"/>
        <v>0</v>
      </c>
      <c r="K731" s="587"/>
      <c r="L731" s="587"/>
      <c r="M731" s="587">
        <f t="shared" si="64"/>
        <v>0</v>
      </c>
      <c r="N731" s="587">
        <f t="shared" si="64"/>
        <v>7</v>
      </c>
      <c r="O731" s="587">
        <f t="shared" si="64"/>
        <v>0</v>
      </c>
      <c r="P731" s="587">
        <f t="shared" si="63"/>
        <v>0</v>
      </c>
    </row>
    <row r="732" spans="2:16">
      <c r="B732" s="587" t="s">
        <v>868</v>
      </c>
      <c r="C732" s="587" t="s">
        <v>35</v>
      </c>
      <c r="D732" s="587" t="s">
        <v>871</v>
      </c>
      <c r="E732" s="587"/>
      <c r="F732" s="587" t="str">
        <f t="shared" si="60"/>
        <v>Marche à pied (exclusivement sur tout le trajet)</v>
      </c>
      <c r="G732" s="587">
        <f t="shared" si="61"/>
        <v>7</v>
      </c>
      <c r="H732" s="587"/>
      <c r="I732" s="587">
        <v>10</v>
      </c>
      <c r="J732" s="587">
        <f t="shared" si="62"/>
        <v>0</v>
      </c>
      <c r="K732" s="587"/>
      <c r="L732" s="587"/>
      <c r="M732" s="587">
        <f t="shared" si="64"/>
        <v>0</v>
      </c>
      <c r="N732" s="587">
        <f t="shared" si="64"/>
        <v>0</v>
      </c>
      <c r="O732" s="587">
        <f t="shared" si="64"/>
        <v>0</v>
      </c>
      <c r="P732" s="587">
        <f t="shared" si="63"/>
        <v>7</v>
      </c>
    </row>
    <row r="733" spans="2:16">
      <c r="B733" s="587" t="s">
        <v>868</v>
      </c>
      <c r="C733" s="587" t="s">
        <v>875</v>
      </c>
      <c r="D733" s="587"/>
      <c r="E733" s="587" t="s">
        <v>848</v>
      </c>
      <c r="F733" s="587" t="str">
        <f t="shared" si="60"/>
        <v>Bus</v>
      </c>
      <c r="G733" s="587">
        <f t="shared" si="61"/>
        <v>2</v>
      </c>
      <c r="H733" s="587"/>
      <c r="I733" s="587">
        <v>40</v>
      </c>
      <c r="J733" s="587">
        <f t="shared" si="62"/>
        <v>1.29</v>
      </c>
      <c r="K733" s="587"/>
      <c r="L733" s="587"/>
      <c r="M733" s="587">
        <f t="shared" si="64"/>
        <v>0</v>
      </c>
      <c r="N733" s="587">
        <f t="shared" si="64"/>
        <v>2</v>
      </c>
      <c r="O733" s="587">
        <f t="shared" si="64"/>
        <v>0</v>
      </c>
      <c r="P733" s="587">
        <f t="shared" si="63"/>
        <v>0</v>
      </c>
    </row>
    <row r="734" spans="2:16">
      <c r="B734" s="587" t="s">
        <v>868</v>
      </c>
      <c r="C734" s="587" t="s">
        <v>869</v>
      </c>
      <c r="D734" s="587" t="s">
        <v>871</v>
      </c>
      <c r="E734" s="587"/>
      <c r="F734" s="587" t="str">
        <f t="shared" si="60"/>
        <v>Marche à pied (exclusivement sur tout le trajet)</v>
      </c>
      <c r="G734" s="587">
        <f t="shared" si="61"/>
        <v>7</v>
      </c>
      <c r="H734" s="587"/>
      <c r="I734" s="587">
        <v>10</v>
      </c>
      <c r="J734" s="587">
        <f t="shared" si="62"/>
        <v>0</v>
      </c>
      <c r="K734" s="587"/>
      <c r="L734" s="587"/>
      <c r="M734" s="587">
        <f t="shared" si="64"/>
        <v>7</v>
      </c>
      <c r="N734" s="587">
        <f t="shared" si="64"/>
        <v>0</v>
      </c>
      <c r="O734" s="587">
        <f t="shared" si="64"/>
        <v>0</v>
      </c>
      <c r="P734" s="587">
        <f t="shared" si="63"/>
        <v>0</v>
      </c>
    </row>
    <row r="735" spans="2:16">
      <c r="B735" s="587" t="s">
        <v>868</v>
      </c>
      <c r="C735" s="587" t="s">
        <v>882</v>
      </c>
      <c r="D735" s="587"/>
      <c r="E735" s="587" t="s">
        <v>870</v>
      </c>
      <c r="F735" s="587" t="str">
        <f t="shared" si="60"/>
        <v>Métro</v>
      </c>
      <c r="G735" s="587">
        <f t="shared" si="61"/>
        <v>1</v>
      </c>
      <c r="H735" s="587"/>
      <c r="I735" s="587">
        <v>20</v>
      </c>
      <c r="J735" s="587">
        <f t="shared" si="62"/>
        <v>4.8833333333333326E-2</v>
      </c>
      <c r="K735" s="587"/>
      <c r="L735" s="587"/>
      <c r="M735" s="587">
        <f t="shared" si="64"/>
        <v>0</v>
      </c>
      <c r="N735" s="587">
        <f t="shared" si="64"/>
        <v>0</v>
      </c>
      <c r="O735" s="587">
        <f t="shared" si="64"/>
        <v>1</v>
      </c>
      <c r="P735" s="587">
        <f t="shared" si="63"/>
        <v>0</v>
      </c>
    </row>
    <row r="736" spans="2:16">
      <c r="B736" s="587" t="s">
        <v>868</v>
      </c>
      <c r="C736" s="587" t="s">
        <v>869</v>
      </c>
      <c r="D736" s="587" t="s">
        <v>877</v>
      </c>
      <c r="E736" s="587"/>
      <c r="F736" s="587" t="str">
        <f t="shared" si="60"/>
        <v>Vélo’v</v>
      </c>
      <c r="G736" s="587">
        <f t="shared" si="61"/>
        <v>7</v>
      </c>
      <c r="H736" s="587"/>
      <c r="I736" s="587">
        <v>12</v>
      </c>
      <c r="J736" s="587">
        <f t="shared" si="62"/>
        <v>0</v>
      </c>
      <c r="K736" s="587"/>
      <c r="L736" s="587"/>
      <c r="M736" s="587">
        <f t="shared" si="64"/>
        <v>7</v>
      </c>
      <c r="N736" s="587">
        <f t="shared" si="64"/>
        <v>0</v>
      </c>
      <c r="O736" s="587">
        <f t="shared" si="64"/>
        <v>0</v>
      </c>
      <c r="P736" s="587">
        <f t="shared" si="63"/>
        <v>0</v>
      </c>
    </row>
    <row r="737" spans="2:16">
      <c r="B737" s="587" t="s">
        <v>868</v>
      </c>
      <c r="C737" s="587" t="s">
        <v>869</v>
      </c>
      <c r="D737" s="587" t="s">
        <v>871</v>
      </c>
      <c r="E737" s="587"/>
      <c r="F737" s="587" t="str">
        <f t="shared" si="60"/>
        <v>Marche à pied (exclusivement sur tout le trajet)</v>
      </c>
      <c r="G737" s="587">
        <f t="shared" si="61"/>
        <v>7</v>
      </c>
      <c r="H737" s="587"/>
      <c r="I737" s="587">
        <v>15</v>
      </c>
      <c r="J737" s="587">
        <f t="shared" si="62"/>
        <v>0</v>
      </c>
      <c r="K737" s="587"/>
      <c r="L737" s="587"/>
      <c r="M737" s="587">
        <f t="shared" si="64"/>
        <v>7</v>
      </c>
      <c r="N737" s="587">
        <f t="shared" si="64"/>
        <v>0</v>
      </c>
      <c r="O737" s="587">
        <f t="shared" si="64"/>
        <v>0</v>
      </c>
      <c r="P737" s="587">
        <f t="shared" si="63"/>
        <v>0</v>
      </c>
    </row>
    <row r="738" spans="2:16">
      <c r="B738" s="587" t="s">
        <v>868</v>
      </c>
      <c r="C738" s="587" t="s">
        <v>869</v>
      </c>
      <c r="D738" s="587" t="s">
        <v>871</v>
      </c>
      <c r="E738" s="587"/>
      <c r="F738" s="587" t="str">
        <f t="shared" si="60"/>
        <v>Marche à pied (exclusivement sur tout le trajet)</v>
      </c>
      <c r="G738" s="587">
        <f t="shared" si="61"/>
        <v>7</v>
      </c>
      <c r="H738" s="587"/>
      <c r="I738" s="587">
        <v>5</v>
      </c>
      <c r="J738" s="587">
        <f t="shared" si="62"/>
        <v>0</v>
      </c>
      <c r="K738" s="587"/>
      <c r="L738" s="587"/>
      <c r="M738" s="587">
        <f t="shared" si="64"/>
        <v>7</v>
      </c>
      <c r="N738" s="587">
        <f t="shared" si="64"/>
        <v>0</v>
      </c>
      <c r="O738" s="587">
        <f t="shared" si="64"/>
        <v>0</v>
      </c>
      <c r="P738" s="587">
        <f t="shared" si="63"/>
        <v>0</v>
      </c>
    </row>
    <row r="739" spans="2:16">
      <c r="B739" s="587" t="s">
        <v>868</v>
      </c>
      <c r="C739" s="587" t="s">
        <v>882</v>
      </c>
      <c r="D739" s="587" t="s">
        <v>871</v>
      </c>
      <c r="E739" s="587"/>
      <c r="F739" s="587" t="str">
        <f t="shared" si="60"/>
        <v>Marche à pied (exclusivement sur tout le trajet)</v>
      </c>
      <c r="G739" s="587">
        <f t="shared" si="61"/>
        <v>7</v>
      </c>
      <c r="H739" s="587"/>
      <c r="I739" s="587">
        <v>11</v>
      </c>
      <c r="J739" s="587">
        <f t="shared" si="62"/>
        <v>0</v>
      </c>
      <c r="K739" s="587"/>
      <c r="L739" s="587"/>
      <c r="M739" s="587">
        <f t="shared" si="64"/>
        <v>0</v>
      </c>
      <c r="N739" s="587">
        <f t="shared" si="64"/>
        <v>0</v>
      </c>
      <c r="O739" s="587">
        <f t="shared" si="64"/>
        <v>7</v>
      </c>
      <c r="P739" s="587">
        <f t="shared" si="63"/>
        <v>0</v>
      </c>
    </row>
    <row r="740" spans="2:16">
      <c r="B740" s="587" t="s">
        <v>868</v>
      </c>
      <c r="C740" s="587" t="s">
        <v>869</v>
      </c>
      <c r="D740" s="587" t="s">
        <v>872</v>
      </c>
      <c r="E740" s="587"/>
      <c r="F740" s="587" t="str">
        <f t="shared" si="60"/>
        <v>Vélo personnel (y compris vélo à assistance électrique)</v>
      </c>
      <c r="G740" s="587">
        <f t="shared" si="61"/>
        <v>7</v>
      </c>
      <c r="H740" s="587"/>
      <c r="I740" s="587">
        <v>20</v>
      </c>
      <c r="J740" s="587">
        <f t="shared" si="62"/>
        <v>0</v>
      </c>
      <c r="K740" s="587"/>
      <c r="L740" s="587"/>
      <c r="M740" s="587">
        <f t="shared" si="64"/>
        <v>7</v>
      </c>
      <c r="N740" s="587">
        <f t="shared" si="64"/>
        <v>0</v>
      </c>
      <c r="O740" s="587">
        <f t="shared" si="64"/>
        <v>0</v>
      </c>
      <c r="P740" s="587">
        <f t="shared" si="63"/>
        <v>0</v>
      </c>
    </row>
    <row r="741" spans="2:16">
      <c r="B741" s="587" t="s">
        <v>868</v>
      </c>
      <c r="C741" s="587" t="s">
        <v>875</v>
      </c>
      <c r="D741" s="587"/>
      <c r="E741" s="587" t="s">
        <v>886</v>
      </c>
      <c r="F741" s="587" t="str">
        <f t="shared" si="60"/>
        <v>Train (TER,..)</v>
      </c>
      <c r="G741" s="587">
        <f t="shared" si="61"/>
        <v>6</v>
      </c>
      <c r="H741" s="587"/>
      <c r="I741" s="587">
        <v>40</v>
      </c>
      <c r="J741" s="587">
        <f t="shared" si="62"/>
        <v>0.34600000000000003</v>
      </c>
      <c r="K741" s="587"/>
      <c r="L741" s="587"/>
      <c r="M741" s="587">
        <f t="shared" si="64"/>
        <v>0</v>
      </c>
      <c r="N741" s="587">
        <f t="shared" si="64"/>
        <v>6</v>
      </c>
      <c r="O741" s="587">
        <f t="shared" si="64"/>
        <v>0</v>
      </c>
      <c r="P741" s="587">
        <f t="shared" si="63"/>
        <v>0</v>
      </c>
    </row>
    <row r="742" spans="2:16">
      <c r="B742" s="587" t="s">
        <v>868</v>
      </c>
      <c r="C742" s="587" t="s">
        <v>875</v>
      </c>
      <c r="D742" s="587" t="s">
        <v>879</v>
      </c>
      <c r="E742" s="587"/>
      <c r="F742" s="587" t="str">
        <f t="shared" si="60"/>
        <v>Voiture (seul(e))</v>
      </c>
      <c r="G742" s="587">
        <f t="shared" si="61"/>
        <v>3</v>
      </c>
      <c r="H742" s="587"/>
      <c r="I742" s="587">
        <v>30</v>
      </c>
      <c r="J742" s="587">
        <f t="shared" si="62"/>
        <v>2.7600000000000002</v>
      </c>
      <c r="K742" s="587"/>
      <c r="L742" s="587"/>
      <c r="M742" s="587">
        <f t="shared" si="64"/>
        <v>0</v>
      </c>
      <c r="N742" s="587">
        <f t="shared" si="64"/>
        <v>3</v>
      </c>
      <c r="O742" s="587">
        <f t="shared" si="64"/>
        <v>0</v>
      </c>
      <c r="P742" s="587">
        <f t="shared" si="63"/>
        <v>0</v>
      </c>
    </row>
    <row r="743" spans="2:16">
      <c r="B743" s="587" t="s">
        <v>868</v>
      </c>
      <c r="C743" s="587" t="s">
        <v>869</v>
      </c>
      <c r="D743" s="587"/>
      <c r="E743" s="587" t="s">
        <v>878</v>
      </c>
      <c r="F743" s="587" t="str">
        <f t="shared" si="60"/>
        <v>Marche à pied au-delà de 5 minutes</v>
      </c>
      <c r="G743" s="587">
        <f t="shared" si="61"/>
        <v>7</v>
      </c>
      <c r="H743" s="587"/>
      <c r="I743" s="587">
        <v>45</v>
      </c>
      <c r="J743" s="587">
        <f t="shared" si="62"/>
        <v>0</v>
      </c>
      <c r="K743" s="587"/>
      <c r="L743" s="587"/>
      <c r="M743" s="587">
        <f t="shared" si="64"/>
        <v>7</v>
      </c>
      <c r="N743" s="587">
        <f t="shared" si="64"/>
        <v>0</v>
      </c>
      <c r="O743" s="587">
        <f t="shared" si="64"/>
        <v>0</v>
      </c>
      <c r="P743" s="587">
        <f t="shared" si="63"/>
        <v>0</v>
      </c>
    </row>
    <row r="744" spans="2:16">
      <c r="B744" s="587" t="s">
        <v>868</v>
      </c>
      <c r="C744" s="587" t="s">
        <v>882</v>
      </c>
      <c r="D744" s="587"/>
      <c r="E744" s="587" t="s">
        <v>881</v>
      </c>
      <c r="F744" s="587" t="str">
        <f t="shared" si="60"/>
        <v>Trottinette, roller, skateboard au-delà de 5 minutes</v>
      </c>
      <c r="G744" s="587">
        <f t="shared" si="61"/>
        <v>7</v>
      </c>
      <c r="H744" s="587"/>
      <c r="I744" s="587">
        <v>75</v>
      </c>
      <c r="J744" s="587">
        <f t="shared" si="62"/>
        <v>0</v>
      </c>
      <c r="K744" s="587"/>
      <c r="L744" s="587"/>
      <c r="M744" s="587">
        <f t="shared" si="64"/>
        <v>0</v>
      </c>
      <c r="N744" s="587">
        <f t="shared" si="64"/>
        <v>0</v>
      </c>
      <c r="O744" s="587">
        <f t="shared" si="64"/>
        <v>7</v>
      </c>
      <c r="P744" s="587">
        <f t="shared" si="63"/>
        <v>0</v>
      </c>
    </row>
    <row r="745" spans="2:16">
      <c r="B745" s="587" t="s">
        <v>868</v>
      </c>
      <c r="C745" s="587" t="s">
        <v>882</v>
      </c>
      <c r="D745" s="587"/>
      <c r="E745" s="587" t="s">
        <v>879</v>
      </c>
      <c r="F745" s="587" t="str">
        <f t="shared" si="60"/>
        <v>Voiture (seul(e))</v>
      </c>
      <c r="G745" s="587">
        <f t="shared" si="61"/>
        <v>3</v>
      </c>
      <c r="H745" s="587"/>
      <c r="I745" s="587">
        <v>100</v>
      </c>
      <c r="J745" s="587">
        <f t="shared" si="62"/>
        <v>2.7600000000000002</v>
      </c>
      <c r="K745" s="587"/>
      <c r="L745" s="587"/>
      <c r="M745" s="587">
        <f t="shared" si="64"/>
        <v>0</v>
      </c>
      <c r="N745" s="587">
        <f t="shared" si="64"/>
        <v>0</v>
      </c>
      <c r="O745" s="587">
        <f t="shared" si="64"/>
        <v>3</v>
      </c>
      <c r="P745" s="587">
        <f t="shared" si="63"/>
        <v>0</v>
      </c>
    </row>
    <row r="746" spans="2:16">
      <c r="B746" s="587" t="s">
        <v>868</v>
      </c>
      <c r="C746" s="587" t="s">
        <v>869</v>
      </c>
      <c r="D746" s="587" t="s">
        <v>871</v>
      </c>
      <c r="E746" s="587"/>
      <c r="F746" s="587" t="str">
        <f t="shared" si="60"/>
        <v>Marche à pied (exclusivement sur tout le trajet)</v>
      </c>
      <c r="G746" s="587">
        <f t="shared" si="61"/>
        <v>7</v>
      </c>
      <c r="H746" s="587"/>
      <c r="I746" s="587">
        <v>5</v>
      </c>
      <c r="J746" s="587">
        <f t="shared" si="62"/>
        <v>0</v>
      </c>
      <c r="K746" s="587"/>
      <c r="L746" s="587"/>
      <c r="M746" s="587">
        <f t="shared" si="64"/>
        <v>7</v>
      </c>
      <c r="N746" s="587">
        <f t="shared" si="64"/>
        <v>0</v>
      </c>
      <c r="O746" s="587">
        <f t="shared" si="64"/>
        <v>0</v>
      </c>
      <c r="P746" s="587">
        <f t="shared" si="63"/>
        <v>0</v>
      </c>
    </row>
    <row r="747" spans="2:16">
      <c r="B747" s="587" t="s">
        <v>868</v>
      </c>
      <c r="C747" s="587" t="s">
        <v>882</v>
      </c>
      <c r="D747" s="587" t="s">
        <v>873</v>
      </c>
      <c r="E747" s="587"/>
      <c r="F747" s="587" t="str">
        <f t="shared" si="60"/>
        <v>Tramway</v>
      </c>
      <c r="G747" s="587">
        <f t="shared" si="61"/>
        <v>1</v>
      </c>
      <c r="H747" s="587"/>
      <c r="I747" s="587">
        <v>1</v>
      </c>
      <c r="J747" s="587">
        <f t="shared" si="62"/>
        <v>4.8833333333333326E-2</v>
      </c>
      <c r="K747" s="587"/>
      <c r="L747" s="587"/>
      <c r="M747" s="587">
        <f t="shared" si="64"/>
        <v>0</v>
      </c>
      <c r="N747" s="587">
        <f t="shared" si="64"/>
        <v>0</v>
      </c>
      <c r="O747" s="587">
        <f t="shared" si="64"/>
        <v>1</v>
      </c>
      <c r="P747" s="587">
        <f t="shared" si="63"/>
        <v>0</v>
      </c>
    </row>
    <row r="748" spans="2:16">
      <c r="B748" s="587" t="s">
        <v>868</v>
      </c>
      <c r="C748" s="587" t="s">
        <v>882</v>
      </c>
      <c r="D748" s="587" t="s">
        <v>872</v>
      </c>
      <c r="E748" s="587"/>
      <c r="F748" s="587" t="str">
        <f t="shared" si="60"/>
        <v>Vélo personnel (y compris vélo à assistance électrique)</v>
      </c>
      <c r="G748" s="587">
        <f t="shared" si="61"/>
        <v>7</v>
      </c>
      <c r="H748" s="587"/>
      <c r="I748" s="587">
        <v>20</v>
      </c>
      <c r="J748" s="587">
        <f t="shared" si="62"/>
        <v>0</v>
      </c>
      <c r="K748" s="587"/>
      <c r="L748" s="587"/>
      <c r="M748" s="587">
        <f t="shared" si="64"/>
        <v>0</v>
      </c>
      <c r="N748" s="587">
        <f t="shared" si="64"/>
        <v>0</v>
      </c>
      <c r="O748" s="587">
        <f t="shared" si="64"/>
        <v>7</v>
      </c>
      <c r="P748" s="587">
        <f t="shared" si="63"/>
        <v>0</v>
      </c>
    </row>
    <row r="749" spans="2:16">
      <c r="B749" s="587" t="s">
        <v>868</v>
      </c>
      <c r="C749" s="587" t="s">
        <v>875</v>
      </c>
      <c r="D749" s="587" t="s">
        <v>876</v>
      </c>
      <c r="E749" s="587"/>
      <c r="F749" s="587" t="str">
        <f t="shared" si="60"/>
        <v>Trottinette, roller, skateboard,...</v>
      </c>
      <c r="G749" s="587">
        <f t="shared" si="61"/>
        <v>7</v>
      </c>
      <c r="H749" s="587"/>
      <c r="I749" s="587">
        <v>6</v>
      </c>
      <c r="J749" s="587">
        <f t="shared" si="62"/>
        <v>0</v>
      </c>
      <c r="K749" s="587"/>
      <c r="L749" s="587"/>
      <c r="M749" s="587">
        <f t="shared" si="64"/>
        <v>0</v>
      </c>
      <c r="N749" s="587">
        <f t="shared" si="64"/>
        <v>7</v>
      </c>
      <c r="O749" s="587">
        <f t="shared" si="64"/>
        <v>0</v>
      </c>
      <c r="P749" s="587">
        <f t="shared" si="63"/>
        <v>0</v>
      </c>
    </row>
    <row r="750" spans="2:16">
      <c r="B750" s="587" t="s">
        <v>868</v>
      </c>
      <c r="C750" s="587" t="s">
        <v>875</v>
      </c>
      <c r="D750" s="587" t="s">
        <v>872</v>
      </c>
      <c r="E750" s="587"/>
      <c r="F750" s="587" t="str">
        <f t="shared" si="60"/>
        <v>Vélo personnel (y compris vélo à assistance électrique)</v>
      </c>
      <c r="G750" s="587">
        <f t="shared" si="61"/>
        <v>7</v>
      </c>
      <c r="H750" s="587"/>
      <c r="I750" s="587">
        <v>18</v>
      </c>
      <c r="J750" s="587">
        <f t="shared" si="62"/>
        <v>0</v>
      </c>
      <c r="K750" s="587"/>
      <c r="L750" s="587"/>
      <c r="M750" s="587">
        <f t="shared" si="64"/>
        <v>0</v>
      </c>
      <c r="N750" s="587">
        <f t="shared" si="64"/>
        <v>7</v>
      </c>
      <c r="O750" s="587">
        <f t="shared" si="64"/>
        <v>0</v>
      </c>
      <c r="P750" s="587">
        <f t="shared" si="63"/>
        <v>0</v>
      </c>
    </row>
    <row r="751" spans="2:16">
      <c r="B751" s="587" t="s">
        <v>868</v>
      </c>
      <c r="C751" s="587" t="s">
        <v>869</v>
      </c>
      <c r="D751" s="587" t="s">
        <v>873</v>
      </c>
      <c r="E751" s="587"/>
      <c r="F751" s="587" t="str">
        <f t="shared" si="60"/>
        <v>Tramway</v>
      </c>
      <c r="G751" s="587">
        <f t="shared" si="61"/>
        <v>1</v>
      </c>
      <c r="H751" s="587"/>
      <c r="I751" s="587">
        <v>15</v>
      </c>
      <c r="J751" s="587">
        <f t="shared" si="62"/>
        <v>4.8833333333333326E-2</v>
      </c>
      <c r="K751" s="587"/>
      <c r="L751" s="587"/>
      <c r="M751" s="587">
        <f t="shared" si="64"/>
        <v>1</v>
      </c>
      <c r="N751" s="587">
        <f t="shared" si="64"/>
        <v>0</v>
      </c>
      <c r="O751" s="587">
        <f t="shared" si="64"/>
        <v>0</v>
      </c>
      <c r="P751" s="587">
        <f t="shared" si="63"/>
        <v>0</v>
      </c>
    </row>
    <row r="752" spans="2:16">
      <c r="B752" s="587" t="s">
        <v>868</v>
      </c>
      <c r="C752" s="587" t="s">
        <v>869</v>
      </c>
      <c r="D752" s="587"/>
      <c r="E752" s="587" t="s">
        <v>848</v>
      </c>
      <c r="F752" s="587" t="str">
        <f t="shared" ref="F752:F815" si="65">IF(D752="",E752,D752)</f>
        <v>Bus</v>
      </c>
      <c r="G752" s="587">
        <f t="shared" ref="G752:G815" si="66">IF(F752="Métro",1,IF(F752="Tramway",1,IF(F752="Vélo'v",7,IF(F752="Marche à pied (exclusivement sur tout le trajet)",7,IF(F752="Vélo personnel (y compris vélo à assistance électrique)",7,IF(F752="Trottinette, roller, skateboard,…",7,IF(F752="Marche à pied au-delà de 5 minutes",7,IF(F752="Voiture (seul(e))",3,IF(F752="Bus",2,IF(F752="Trottinette, roller, skateboard au-delà de 5 minutes",7,IF(F752="Covoiturage (passager(ère))",4,IF(F752="Trottinette, roller, skateboard,...",7,IF(F752="Vélo’v",7,IF(F752="Train (TER,TGV,...)",6,IF(F752="Deux roues motorisées (moto, scooter, mobylette,…)",5,IF(F752="Covoiturage (conducteur(trice))",4,IF(F752="Train (TER,..)",6,0)))))))))))))))))</f>
        <v>2</v>
      </c>
      <c r="H752" s="587"/>
      <c r="I752" s="587">
        <v>45</v>
      </c>
      <c r="J752" s="587">
        <f t="shared" ref="J752:J815" si="67">IF(G752=1,$C$6*($I$28*$K$6)/$J$6,IF(G752=2,$C$7*($I$28*$K$7)/$J$7,IF(G752=3,$C$8*$I$28*$K$8/$J$8,IF(G752=4,$C$9*$I$28*$K$9/$J$9,IF(G752=5,$C$10*$I$28*$K$10/$J$10,IF(G752=6,$C$11*$K$11*$I$28/$J$11,0))))))</f>
        <v>1.29</v>
      </c>
      <c r="K752" s="587"/>
      <c r="L752" s="587"/>
      <c r="M752" s="587">
        <f t="shared" si="64"/>
        <v>2</v>
      </c>
      <c r="N752" s="587">
        <f t="shared" si="64"/>
        <v>0</v>
      </c>
      <c r="O752" s="587">
        <f t="shared" si="64"/>
        <v>0</v>
      </c>
      <c r="P752" s="587">
        <f t="shared" si="63"/>
        <v>0</v>
      </c>
    </row>
    <row r="753" spans="2:16">
      <c r="B753" s="587" t="s">
        <v>868</v>
      </c>
      <c r="C753" s="587" t="s">
        <v>869</v>
      </c>
      <c r="D753" s="587" t="s">
        <v>877</v>
      </c>
      <c r="E753" s="587"/>
      <c r="F753" s="587" t="str">
        <f t="shared" si="65"/>
        <v>Vélo’v</v>
      </c>
      <c r="G753" s="587">
        <f t="shared" si="66"/>
        <v>7</v>
      </c>
      <c r="H753" s="587"/>
      <c r="I753" s="587">
        <v>25</v>
      </c>
      <c r="J753" s="587">
        <f t="shared" si="67"/>
        <v>0</v>
      </c>
      <c r="K753" s="587"/>
      <c r="L753" s="587"/>
      <c r="M753" s="587">
        <f t="shared" si="64"/>
        <v>7</v>
      </c>
      <c r="N753" s="587">
        <f t="shared" si="64"/>
        <v>0</v>
      </c>
      <c r="O753" s="587">
        <f t="shared" si="64"/>
        <v>0</v>
      </c>
      <c r="P753" s="587">
        <f t="shared" si="63"/>
        <v>0</v>
      </c>
    </row>
    <row r="754" spans="2:16">
      <c r="B754" s="587" t="s">
        <v>868</v>
      </c>
      <c r="C754" s="587" t="s">
        <v>875</v>
      </c>
      <c r="D754" s="587" t="s">
        <v>879</v>
      </c>
      <c r="E754" s="587"/>
      <c r="F754" s="587" t="str">
        <f t="shared" si="65"/>
        <v>Voiture (seul(e))</v>
      </c>
      <c r="G754" s="587">
        <f t="shared" si="66"/>
        <v>3</v>
      </c>
      <c r="H754" s="587"/>
      <c r="I754" s="587">
        <v>40</v>
      </c>
      <c r="J754" s="587">
        <f t="shared" si="67"/>
        <v>2.7600000000000002</v>
      </c>
      <c r="K754" s="587"/>
      <c r="L754" s="587"/>
      <c r="M754" s="587">
        <f t="shared" si="64"/>
        <v>0</v>
      </c>
      <c r="N754" s="587">
        <f t="shared" si="64"/>
        <v>3</v>
      </c>
      <c r="O754" s="587">
        <f t="shared" si="64"/>
        <v>0</v>
      </c>
      <c r="P754" s="587">
        <f t="shared" si="63"/>
        <v>0</v>
      </c>
    </row>
    <row r="755" spans="2:16">
      <c r="B755" s="587" t="s">
        <v>868</v>
      </c>
      <c r="C755" s="587" t="s">
        <v>869</v>
      </c>
      <c r="D755" s="587" t="s">
        <v>876</v>
      </c>
      <c r="E755" s="587"/>
      <c r="F755" s="587" t="str">
        <f t="shared" si="65"/>
        <v>Trottinette, roller, skateboard,...</v>
      </c>
      <c r="G755" s="587">
        <f t="shared" si="66"/>
        <v>7</v>
      </c>
      <c r="H755" s="587"/>
      <c r="I755" s="587">
        <v>7</v>
      </c>
      <c r="J755" s="587">
        <f t="shared" si="67"/>
        <v>0</v>
      </c>
      <c r="K755" s="587"/>
      <c r="L755" s="587"/>
      <c r="M755" s="587">
        <f t="shared" si="64"/>
        <v>7</v>
      </c>
      <c r="N755" s="587">
        <f t="shared" si="64"/>
        <v>0</v>
      </c>
      <c r="O755" s="587">
        <f t="shared" si="64"/>
        <v>0</v>
      </c>
      <c r="P755" s="587">
        <f t="shared" si="63"/>
        <v>0</v>
      </c>
    </row>
    <row r="756" spans="2:16">
      <c r="B756" s="587" t="s">
        <v>868</v>
      </c>
      <c r="C756" s="587" t="s">
        <v>882</v>
      </c>
      <c r="D756" s="587" t="s">
        <v>871</v>
      </c>
      <c r="E756" s="587"/>
      <c r="F756" s="587" t="str">
        <f t="shared" si="65"/>
        <v>Marche à pied (exclusivement sur tout le trajet)</v>
      </c>
      <c r="G756" s="587">
        <f t="shared" si="66"/>
        <v>7</v>
      </c>
      <c r="H756" s="587"/>
      <c r="I756" s="587">
        <v>10</v>
      </c>
      <c r="J756" s="587">
        <f t="shared" si="67"/>
        <v>0</v>
      </c>
      <c r="K756" s="587"/>
      <c r="L756" s="587"/>
      <c r="M756" s="587">
        <f t="shared" si="64"/>
        <v>0</v>
      </c>
      <c r="N756" s="587">
        <f t="shared" si="64"/>
        <v>0</v>
      </c>
      <c r="O756" s="587">
        <f t="shared" si="64"/>
        <v>7</v>
      </c>
      <c r="P756" s="587">
        <f t="shared" si="63"/>
        <v>0</v>
      </c>
    </row>
    <row r="757" spans="2:16">
      <c r="B757" s="587" t="s">
        <v>868</v>
      </c>
      <c r="C757" s="587" t="s">
        <v>869</v>
      </c>
      <c r="D757" s="587"/>
      <c r="E757" s="587" t="s">
        <v>870</v>
      </c>
      <c r="F757" s="587" t="str">
        <f t="shared" si="65"/>
        <v>Métro</v>
      </c>
      <c r="G757" s="587">
        <f t="shared" si="66"/>
        <v>1</v>
      </c>
      <c r="H757" s="587"/>
      <c r="I757" s="587">
        <v>30</v>
      </c>
      <c r="J757" s="587">
        <f t="shared" si="67"/>
        <v>4.8833333333333326E-2</v>
      </c>
      <c r="K757" s="587"/>
      <c r="L757" s="587"/>
      <c r="M757" s="587">
        <f t="shared" si="64"/>
        <v>1</v>
      </c>
      <c r="N757" s="587">
        <f t="shared" si="64"/>
        <v>0</v>
      </c>
      <c r="O757" s="587">
        <f t="shared" si="64"/>
        <v>0</v>
      </c>
      <c r="P757" s="587">
        <f t="shared" si="63"/>
        <v>0</v>
      </c>
    </row>
    <row r="758" spans="2:16">
      <c r="B758" s="587" t="s">
        <v>868</v>
      </c>
      <c r="C758" s="587" t="s">
        <v>875</v>
      </c>
      <c r="D758" s="587"/>
      <c r="E758" s="587" t="s">
        <v>870</v>
      </c>
      <c r="F758" s="587" t="str">
        <f t="shared" si="65"/>
        <v>Métro</v>
      </c>
      <c r="G758" s="587">
        <f t="shared" si="66"/>
        <v>1</v>
      </c>
      <c r="H758" s="587"/>
      <c r="I758" s="587">
        <v>30</v>
      </c>
      <c r="J758" s="587">
        <f t="shared" si="67"/>
        <v>4.8833333333333326E-2</v>
      </c>
      <c r="K758" s="587"/>
      <c r="L758" s="587"/>
      <c r="M758" s="587">
        <f t="shared" si="64"/>
        <v>0</v>
      </c>
      <c r="N758" s="587">
        <f t="shared" si="64"/>
        <v>1</v>
      </c>
      <c r="O758" s="587">
        <f t="shared" si="64"/>
        <v>0</v>
      </c>
      <c r="P758" s="587">
        <f t="shared" si="63"/>
        <v>0</v>
      </c>
    </row>
    <row r="759" spans="2:16">
      <c r="B759" s="587" t="s">
        <v>868</v>
      </c>
      <c r="C759" s="587" t="s">
        <v>869</v>
      </c>
      <c r="D759" s="587" t="s">
        <v>872</v>
      </c>
      <c r="E759" s="587"/>
      <c r="F759" s="587" t="str">
        <f t="shared" si="65"/>
        <v>Vélo personnel (y compris vélo à assistance électrique)</v>
      </c>
      <c r="G759" s="587">
        <f t="shared" si="66"/>
        <v>7</v>
      </c>
      <c r="H759" s="587"/>
      <c r="I759" s="587">
        <v>15</v>
      </c>
      <c r="J759" s="587">
        <f t="shared" si="67"/>
        <v>0</v>
      </c>
      <c r="K759" s="587"/>
      <c r="L759" s="587"/>
      <c r="M759" s="587">
        <f t="shared" si="64"/>
        <v>7</v>
      </c>
      <c r="N759" s="587">
        <f t="shared" si="64"/>
        <v>0</v>
      </c>
      <c r="O759" s="587">
        <f t="shared" si="64"/>
        <v>0</v>
      </c>
      <c r="P759" s="587">
        <f t="shared" si="63"/>
        <v>0</v>
      </c>
    </row>
    <row r="760" spans="2:16">
      <c r="B760" s="587" t="s">
        <v>868</v>
      </c>
      <c r="C760" s="587" t="s">
        <v>869</v>
      </c>
      <c r="D760" s="587"/>
      <c r="E760" s="587" t="s">
        <v>870</v>
      </c>
      <c r="F760" s="587" t="str">
        <f t="shared" si="65"/>
        <v>Métro</v>
      </c>
      <c r="G760" s="587">
        <f t="shared" si="66"/>
        <v>1</v>
      </c>
      <c r="H760" s="587"/>
      <c r="I760" s="587">
        <v>30</v>
      </c>
      <c r="J760" s="587">
        <f t="shared" si="67"/>
        <v>4.8833333333333326E-2</v>
      </c>
      <c r="K760" s="587"/>
      <c r="L760" s="587"/>
      <c r="M760" s="587">
        <f t="shared" si="64"/>
        <v>1</v>
      </c>
      <c r="N760" s="587">
        <f t="shared" si="64"/>
        <v>0</v>
      </c>
      <c r="O760" s="587">
        <f t="shared" si="64"/>
        <v>0</v>
      </c>
      <c r="P760" s="587">
        <f t="shared" si="63"/>
        <v>0</v>
      </c>
    </row>
    <row r="761" spans="2:16">
      <c r="B761" s="587" t="s">
        <v>868</v>
      </c>
      <c r="C761" s="587" t="s">
        <v>882</v>
      </c>
      <c r="D761" s="587"/>
      <c r="E761" s="587" t="s">
        <v>879</v>
      </c>
      <c r="F761" s="587" t="str">
        <f t="shared" si="65"/>
        <v>Voiture (seul(e))</v>
      </c>
      <c r="G761" s="587">
        <f t="shared" si="66"/>
        <v>3</v>
      </c>
      <c r="H761" s="587"/>
      <c r="I761" s="587">
        <v>40</v>
      </c>
      <c r="J761" s="587">
        <f t="shared" si="67"/>
        <v>2.7600000000000002</v>
      </c>
      <c r="K761" s="587"/>
      <c r="L761" s="587"/>
      <c r="M761" s="587">
        <f t="shared" si="64"/>
        <v>0</v>
      </c>
      <c r="N761" s="587">
        <f t="shared" si="64"/>
        <v>0</v>
      </c>
      <c r="O761" s="587">
        <f t="shared" si="64"/>
        <v>3</v>
      </c>
      <c r="P761" s="587">
        <f t="shared" si="63"/>
        <v>0</v>
      </c>
    </row>
    <row r="762" spans="2:16">
      <c r="B762" s="587" t="s">
        <v>868</v>
      </c>
      <c r="C762" s="587" t="s">
        <v>869</v>
      </c>
      <c r="D762" s="587" t="s">
        <v>871</v>
      </c>
      <c r="E762" s="587"/>
      <c r="F762" s="587" t="str">
        <f t="shared" si="65"/>
        <v>Marche à pied (exclusivement sur tout le trajet)</v>
      </c>
      <c r="G762" s="587">
        <f t="shared" si="66"/>
        <v>7</v>
      </c>
      <c r="H762" s="587"/>
      <c r="I762" s="587">
        <v>2</v>
      </c>
      <c r="J762" s="587">
        <f t="shared" si="67"/>
        <v>0</v>
      </c>
      <c r="K762" s="587"/>
      <c r="L762" s="587"/>
      <c r="M762" s="587">
        <f t="shared" si="64"/>
        <v>7</v>
      </c>
      <c r="N762" s="587">
        <f t="shared" si="64"/>
        <v>0</v>
      </c>
      <c r="O762" s="587">
        <f t="shared" si="64"/>
        <v>0</v>
      </c>
      <c r="P762" s="587">
        <f t="shared" si="63"/>
        <v>0</v>
      </c>
    </row>
    <row r="763" spans="2:16">
      <c r="B763" s="587" t="s">
        <v>868</v>
      </c>
      <c r="C763" s="587" t="s">
        <v>35</v>
      </c>
      <c r="D763" s="587" t="s">
        <v>879</v>
      </c>
      <c r="E763" s="587"/>
      <c r="F763" s="587" t="str">
        <f t="shared" si="65"/>
        <v>Voiture (seul(e))</v>
      </c>
      <c r="G763" s="587">
        <f t="shared" si="66"/>
        <v>3</v>
      </c>
      <c r="H763" s="587"/>
      <c r="I763" s="587">
        <v>20</v>
      </c>
      <c r="J763" s="587">
        <f t="shared" si="67"/>
        <v>2.7600000000000002</v>
      </c>
      <c r="K763" s="587"/>
      <c r="L763" s="587"/>
      <c r="M763" s="587">
        <f t="shared" si="64"/>
        <v>0</v>
      </c>
      <c r="N763" s="587">
        <f t="shared" si="64"/>
        <v>0</v>
      </c>
      <c r="O763" s="587">
        <f t="shared" si="64"/>
        <v>0</v>
      </c>
      <c r="P763" s="587">
        <f t="shared" si="63"/>
        <v>3</v>
      </c>
    </row>
    <row r="764" spans="2:16">
      <c r="B764" s="587" t="s">
        <v>868</v>
      </c>
      <c r="C764" s="587" t="s">
        <v>869</v>
      </c>
      <c r="D764" s="587"/>
      <c r="E764" s="587" t="s">
        <v>873</v>
      </c>
      <c r="F764" s="587" t="str">
        <f t="shared" si="65"/>
        <v>Tramway</v>
      </c>
      <c r="G764" s="587">
        <f t="shared" si="66"/>
        <v>1</v>
      </c>
      <c r="H764" s="587"/>
      <c r="I764" s="587">
        <v>90</v>
      </c>
      <c r="J764" s="587">
        <f t="shared" si="67"/>
        <v>4.8833333333333326E-2</v>
      </c>
      <c r="K764" s="587"/>
      <c r="L764" s="587"/>
      <c r="M764" s="587">
        <f t="shared" si="64"/>
        <v>1</v>
      </c>
      <c r="N764" s="587">
        <f t="shared" si="64"/>
        <v>0</v>
      </c>
      <c r="O764" s="587">
        <f t="shared" si="64"/>
        <v>0</v>
      </c>
      <c r="P764" s="587">
        <f t="shared" si="63"/>
        <v>0</v>
      </c>
    </row>
    <row r="765" spans="2:16">
      <c r="B765" s="587" t="s">
        <v>868</v>
      </c>
      <c r="C765" s="587" t="s">
        <v>869</v>
      </c>
      <c r="D765" s="587" t="s">
        <v>871</v>
      </c>
      <c r="E765" s="587"/>
      <c r="F765" s="587" t="str">
        <f t="shared" si="65"/>
        <v>Marche à pied (exclusivement sur tout le trajet)</v>
      </c>
      <c r="G765" s="587">
        <f t="shared" si="66"/>
        <v>7</v>
      </c>
      <c r="H765" s="587"/>
      <c r="I765" s="587">
        <v>10</v>
      </c>
      <c r="J765" s="587">
        <f t="shared" si="67"/>
        <v>0</v>
      </c>
      <c r="K765" s="587"/>
      <c r="L765" s="587"/>
      <c r="M765" s="587">
        <f t="shared" si="64"/>
        <v>7</v>
      </c>
      <c r="N765" s="587">
        <f t="shared" si="64"/>
        <v>0</v>
      </c>
      <c r="O765" s="587">
        <f t="shared" si="64"/>
        <v>0</v>
      </c>
      <c r="P765" s="587">
        <f t="shared" si="63"/>
        <v>0</v>
      </c>
    </row>
    <row r="766" spans="2:16">
      <c r="B766" s="587" t="s">
        <v>868</v>
      </c>
      <c r="C766" s="587" t="s">
        <v>869</v>
      </c>
      <c r="D766" s="587" t="s">
        <v>871</v>
      </c>
      <c r="E766" s="587"/>
      <c r="F766" s="587" t="str">
        <f t="shared" si="65"/>
        <v>Marche à pied (exclusivement sur tout le trajet)</v>
      </c>
      <c r="G766" s="587">
        <f t="shared" si="66"/>
        <v>7</v>
      </c>
      <c r="H766" s="587"/>
      <c r="I766" s="587">
        <v>2</v>
      </c>
      <c r="J766" s="587">
        <f t="shared" si="67"/>
        <v>0</v>
      </c>
      <c r="K766" s="587"/>
      <c r="L766" s="587"/>
      <c r="M766" s="587">
        <f t="shared" si="64"/>
        <v>7</v>
      </c>
      <c r="N766" s="587">
        <f t="shared" si="64"/>
        <v>0</v>
      </c>
      <c r="O766" s="587">
        <f t="shared" si="64"/>
        <v>0</v>
      </c>
      <c r="P766" s="587">
        <f t="shared" si="63"/>
        <v>0</v>
      </c>
    </row>
    <row r="767" spans="2:16">
      <c r="B767" s="587" t="s">
        <v>868</v>
      </c>
      <c r="C767" s="587" t="s">
        <v>869</v>
      </c>
      <c r="D767" s="587" t="s">
        <v>871</v>
      </c>
      <c r="E767" s="587"/>
      <c r="F767" s="587" t="str">
        <f t="shared" si="65"/>
        <v>Marche à pied (exclusivement sur tout le trajet)</v>
      </c>
      <c r="G767" s="587">
        <f t="shared" si="66"/>
        <v>7</v>
      </c>
      <c r="H767" s="587"/>
      <c r="I767" s="587">
        <v>15</v>
      </c>
      <c r="J767" s="587">
        <f t="shared" si="67"/>
        <v>0</v>
      </c>
      <c r="K767" s="587"/>
      <c r="L767" s="587"/>
      <c r="M767" s="587">
        <f t="shared" si="64"/>
        <v>7</v>
      </c>
      <c r="N767" s="587">
        <f t="shared" si="64"/>
        <v>0</v>
      </c>
      <c r="O767" s="587">
        <f t="shared" si="64"/>
        <v>0</v>
      </c>
      <c r="P767" s="587">
        <f t="shared" si="63"/>
        <v>0</v>
      </c>
    </row>
    <row r="768" spans="2:16">
      <c r="B768" s="587" t="s">
        <v>868</v>
      </c>
      <c r="C768" s="587" t="s">
        <v>882</v>
      </c>
      <c r="D768" s="587"/>
      <c r="E768" s="587" t="s">
        <v>873</v>
      </c>
      <c r="F768" s="587" t="str">
        <f t="shared" si="65"/>
        <v>Tramway</v>
      </c>
      <c r="G768" s="587">
        <f t="shared" si="66"/>
        <v>1</v>
      </c>
      <c r="H768" s="587"/>
      <c r="I768" s="587">
        <v>30</v>
      </c>
      <c r="J768" s="587">
        <f t="shared" si="67"/>
        <v>4.8833333333333326E-2</v>
      </c>
      <c r="K768" s="587"/>
      <c r="L768" s="587"/>
      <c r="M768" s="587">
        <f t="shared" si="64"/>
        <v>0</v>
      </c>
      <c r="N768" s="587">
        <f t="shared" si="64"/>
        <v>0</v>
      </c>
      <c r="O768" s="587">
        <f t="shared" si="64"/>
        <v>1</v>
      </c>
      <c r="P768" s="587">
        <f t="shared" si="63"/>
        <v>0</v>
      </c>
    </row>
    <row r="769" spans="2:16">
      <c r="B769" s="587" t="s">
        <v>868</v>
      </c>
      <c r="C769" s="587" t="s">
        <v>875</v>
      </c>
      <c r="D769" s="587" t="s">
        <v>884</v>
      </c>
      <c r="E769" s="587"/>
      <c r="F769" s="587" t="str">
        <f t="shared" si="65"/>
        <v>Deux roues motorisées (moto, scooter, mobylette,…)</v>
      </c>
      <c r="G769" s="587">
        <f t="shared" si="66"/>
        <v>5</v>
      </c>
      <c r="H769" s="587"/>
      <c r="I769" s="587">
        <v>30</v>
      </c>
      <c r="J769" s="587">
        <f t="shared" si="67"/>
        <v>1.288</v>
      </c>
      <c r="K769" s="587"/>
      <c r="L769" s="587"/>
      <c r="M769" s="587">
        <f t="shared" si="64"/>
        <v>0</v>
      </c>
      <c r="N769" s="587">
        <f t="shared" si="64"/>
        <v>5</v>
      </c>
      <c r="O769" s="587">
        <f t="shared" si="64"/>
        <v>0</v>
      </c>
      <c r="P769" s="587">
        <f t="shared" si="63"/>
        <v>0</v>
      </c>
    </row>
    <row r="770" spans="2:16">
      <c r="B770" s="587" t="s">
        <v>868</v>
      </c>
      <c r="C770" s="587" t="s">
        <v>869</v>
      </c>
      <c r="D770" s="587" t="s">
        <v>871</v>
      </c>
      <c r="E770" s="587"/>
      <c r="F770" s="587" t="str">
        <f t="shared" si="65"/>
        <v>Marche à pied (exclusivement sur tout le trajet)</v>
      </c>
      <c r="G770" s="587">
        <f t="shared" si="66"/>
        <v>7</v>
      </c>
      <c r="H770" s="587"/>
      <c r="I770" s="587">
        <v>7</v>
      </c>
      <c r="J770" s="587">
        <f t="shared" si="67"/>
        <v>0</v>
      </c>
      <c r="K770" s="587"/>
      <c r="L770" s="587"/>
      <c r="M770" s="587">
        <f t="shared" si="64"/>
        <v>7</v>
      </c>
      <c r="N770" s="587">
        <f t="shared" si="64"/>
        <v>0</v>
      </c>
      <c r="O770" s="587">
        <f t="shared" si="64"/>
        <v>0</v>
      </c>
      <c r="P770" s="587">
        <f t="shared" si="63"/>
        <v>0</v>
      </c>
    </row>
    <row r="771" spans="2:16">
      <c r="B771" s="587" t="s">
        <v>868</v>
      </c>
      <c r="C771" s="587" t="s">
        <v>875</v>
      </c>
      <c r="D771" s="587" t="s">
        <v>873</v>
      </c>
      <c r="E771" s="587"/>
      <c r="F771" s="587" t="str">
        <f t="shared" si="65"/>
        <v>Tramway</v>
      </c>
      <c r="G771" s="587">
        <f t="shared" si="66"/>
        <v>1</v>
      </c>
      <c r="H771" s="587"/>
      <c r="I771" s="587">
        <v>25</v>
      </c>
      <c r="J771" s="587">
        <f t="shared" si="67"/>
        <v>4.8833333333333326E-2</v>
      </c>
      <c r="K771" s="587"/>
      <c r="L771" s="587"/>
      <c r="M771" s="587">
        <f t="shared" si="64"/>
        <v>0</v>
      </c>
      <c r="N771" s="587">
        <f t="shared" si="64"/>
        <v>1</v>
      </c>
      <c r="O771" s="587">
        <f t="shared" si="64"/>
        <v>0</v>
      </c>
      <c r="P771" s="587">
        <f t="shared" si="63"/>
        <v>0</v>
      </c>
    </row>
    <row r="772" spans="2:16">
      <c r="B772" s="587" t="s">
        <v>868</v>
      </c>
      <c r="C772" s="587" t="s">
        <v>882</v>
      </c>
      <c r="D772" s="587"/>
      <c r="E772" s="587" t="s">
        <v>870</v>
      </c>
      <c r="F772" s="587" t="str">
        <f t="shared" si="65"/>
        <v>Métro</v>
      </c>
      <c r="G772" s="587">
        <f t="shared" si="66"/>
        <v>1</v>
      </c>
      <c r="H772" s="587"/>
      <c r="I772" s="587">
        <v>45</v>
      </c>
      <c r="J772" s="587">
        <f t="shared" si="67"/>
        <v>4.8833333333333326E-2</v>
      </c>
      <c r="K772" s="587"/>
      <c r="L772" s="587"/>
      <c r="M772" s="587">
        <f t="shared" si="64"/>
        <v>0</v>
      </c>
      <c r="N772" s="587">
        <f t="shared" si="64"/>
        <v>0</v>
      </c>
      <c r="O772" s="587">
        <f t="shared" si="64"/>
        <v>1</v>
      </c>
      <c r="P772" s="587">
        <f t="shared" si="63"/>
        <v>0</v>
      </c>
    </row>
    <row r="773" spans="2:16">
      <c r="B773" s="587" t="s">
        <v>868</v>
      </c>
      <c r="C773" s="587" t="s">
        <v>869</v>
      </c>
      <c r="D773" s="587" t="s">
        <v>848</v>
      </c>
      <c r="E773" s="587"/>
      <c r="F773" s="587" t="str">
        <f t="shared" si="65"/>
        <v>Bus</v>
      </c>
      <c r="G773" s="587">
        <f t="shared" si="66"/>
        <v>2</v>
      </c>
      <c r="H773" s="587"/>
      <c r="I773" s="587">
        <v>8</v>
      </c>
      <c r="J773" s="587">
        <f t="shared" si="67"/>
        <v>1.29</v>
      </c>
      <c r="K773" s="587"/>
      <c r="L773" s="587"/>
      <c r="M773" s="587">
        <f t="shared" si="64"/>
        <v>2</v>
      </c>
      <c r="N773" s="587">
        <f t="shared" si="64"/>
        <v>0</v>
      </c>
      <c r="O773" s="587">
        <f t="shared" si="64"/>
        <v>0</v>
      </c>
      <c r="P773" s="587">
        <f t="shared" si="63"/>
        <v>0</v>
      </c>
    </row>
    <row r="774" spans="2:16">
      <c r="B774" s="587" t="s">
        <v>868</v>
      </c>
      <c r="C774" s="587" t="s">
        <v>869</v>
      </c>
      <c r="D774" s="587" t="s">
        <v>872</v>
      </c>
      <c r="E774" s="587"/>
      <c r="F774" s="587" t="str">
        <f t="shared" si="65"/>
        <v>Vélo personnel (y compris vélo à assistance électrique)</v>
      </c>
      <c r="G774" s="587">
        <f t="shared" si="66"/>
        <v>7</v>
      </c>
      <c r="H774" s="587"/>
      <c r="I774" s="587">
        <v>10</v>
      </c>
      <c r="J774" s="587">
        <f t="shared" si="67"/>
        <v>0</v>
      </c>
      <c r="K774" s="587"/>
      <c r="L774" s="587"/>
      <c r="M774" s="587">
        <f t="shared" si="64"/>
        <v>7</v>
      </c>
      <c r="N774" s="587">
        <f t="shared" si="64"/>
        <v>0</v>
      </c>
      <c r="O774" s="587">
        <f t="shared" si="64"/>
        <v>0</v>
      </c>
      <c r="P774" s="587">
        <f t="shared" si="63"/>
        <v>0</v>
      </c>
    </row>
    <row r="775" spans="2:16">
      <c r="B775" s="587" t="s">
        <v>868</v>
      </c>
      <c r="C775" s="587" t="s">
        <v>882</v>
      </c>
      <c r="D775" s="587"/>
      <c r="E775" s="587" t="s">
        <v>870</v>
      </c>
      <c r="F775" s="587" t="str">
        <f t="shared" si="65"/>
        <v>Métro</v>
      </c>
      <c r="G775" s="587">
        <f t="shared" si="66"/>
        <v>1</v>
      </c>
      <c r="H775" s="587"/>
      <c r="I775" s="587">
        <v>30</v>
      </c>
      <c r="J775" s="587">
        <f t="shared" si="67"/>
        <v>4.8833333333333326E-2</v>
      </c>
      <c r="K775" s="587"/>
      <c r="L775" s="587"/>
      <c r="M775" s="587">
        <f t="shared" si="64"/>
        <v>0</v>
      </c>
      <c r="N775" s="587">
        <f t="shared" si="64"/>
        <v>0</v>
      </c>
      <c r="O775" s="587">
        <f t="shared" si="64"/>
        <v>1</v>
      </c>
      <c r="P775" s="587">
        <f t="shared" si="63"/>
        <v>0</v>
      </c>
    </row>
    <row r="776" spans="2:16">
      <c r="B776" s="587" t="s">
        <v>868</v>
      </c>
      <c r="C776" s="587" t="s">
        <v>882</v>
      </c>
      <c r="D776" s="587"/>
      <c r="E776" s="587" t="s">
        <v>879</v>
      </c>
      <c r="F776" s="587" t="str">
        <f t="shared" si="65"/>
        <v>Voiture (seul(e))</v>
      </c>
      <c r="G776" s="587">
        <f t="shared" si="66"/>
        <v>3</v>
      </c>
      <c r="H776" s="587"/>
      <c r="I776" s="587">
        <v>80</v>
      </c>
      <c r="J776" s="587">
        <f t="shared" si="67"/>
        <v>2.7600000000000002</v>
      </c>
      <c r="K776" s="587"/>
      <c r="L776" s="587"/>
      <c r="M776" s="587">
        <f t="shared" si="64"/>
        <v>0</v>
      </c>
      <c r="N776" s="587">
        <f t="shared" si="64"/>
        <v>0</v>
      </c>
      <c r="O776" s="587">
        <f t="shared" si="64"/>
        <v>3</v>
      </c>
      <c r="P776" s="587">
        <f t="shared" si="63"/>
        <v>0</v>
      </c>
    </row>
    <row r="777" spans="2:16">
      <c r="B777" s="587" t="s">
        <v>868</v>
      </c>
      <c r="C777" s="587" t="s">
        <v>869</v>
      </c>
      <c r="D777" s="587" t="s">
        <v>871</v>
      </c>
      <c r="E777" s="587"/>
      <c r="F777" s="587" t="str">
        <f t="shared" si="65"/>
        <v>Marche à pied (exclusivement sur tout le trajet)</v>
      </c>
      <c r="G777" s="587">
        <f t="shared" si="66"/>
        <v>7</v>
      </c>
      <c r="H777" s="587"/>
      <c r="I777" s="587">
        <v>5</v>
      </c>
      <c r="J777" s="587">
        <f t="shared" si="67"/>
        <v>0</v>
      </c>
      <c r="K777" s="587"/>
      <c r="L777" s="587"/>
      <c r="M777" s="587">
        <f t="shared" si="64"/>
        <v>7</v>
      </c>
      <c r="N777" s="587">
        <f t="shared" si="64"/>
        <v>0</v>
      </c>
      <c r="O777" s="587">
        <f t="shared" si="64"/>
        <v>0</v>
      </c>
      <c r="P777" s="587">
        <f t="shared" si="63"/>
        <v>0</v>
      </c>
    </row>
    <row r="778" spans="2:16">
      <c r="B778" s="587" t="s">
        <v>868</v>
      </c>
      <c r="C778" s="587" t="s">
        <v>875</v>
      </c>
      <c r="D778" s="587" t="s">
        <v>871</v>
      </c>
      <c r="E778" s="587"/>
      <c r="F778" s="587" t="str">
        <f t="shared" si="65"/>
        <v>Marche à pied (exclusivement sur tout le trajet)</v>
      </c>
      <c r="G778" s="587">
        <f t="shared" si="66"/>
        <v>7</v>
      </c>
      <c r="H778" s="587"/>
      <c r="I778" s="587">
        <v>7</v>
      </c>
      <c r="J778" s="587">
        <f t="shared" si="67"/>
        <v>0</v>
      </c>
      <c r="K778" s="587"/>
      <c r="L778" s="587"/>
      <c r="M778" s="587">
        <f t="shared" si="64"/>
        <v>0</v>
      </c>
      <c r="N778" s="587">
        <f t="shared" si="64"/>
        <v>7</v>
      </c>
      <c r="O778" s="587">
        <f t="shared" si="64"/>
        <v>0</v>
      </c>
      <c r="P778" s="587">
        <f t="shared" si="63"/>
        <v>0</v>
      </c>
    </row>
    <row r="779" spans="2:16">
      <c r="B779" s="587" t="s">
        <v>868</v>
      </c>
      <c r="C779" s="587" t="s">
        <v>869</v>
      </c>
      <c r="D779" s="587"/>
      <c r="E779" s="587" t="s">
        <v>878</v>
      </c>
      <c r="F779" s="587" t="str">
        <f t="shared" si="65"/>
        <v>Marche à pied au-delà de 5 minutes</v>
      </c>
      <c r="G779" s="587">
        <f t="shared" si="66"/>
        <v>7</v>
      </c>
      <c r="H779" s="587"/>
      <c r="I779" s="587">
        <v>50</v>
      </c>
      <c r="J779" s="587">
        <f t="shared" si="67"/>
        <v>0</v>
      </c>
      <c r="K779" s="587"/>
      <c r="L779" s="587"/>
      <c r="M779" s="587">
        <f t="shared" si="64"/>
        <v>7</v>
      </c>
      <c r="N779" s="587">
        <f t="shared" si="64"/>
        <v>0</v>
      </c>
      <c r="O779" s="587">
        <f t="shared" si="64"/>
        <v>0</v>
      </c>
      <c r="P779" s="587">
        <f t="shared" si="63"/>
        <v>0</v>
      </c>
    </row>
    <row r="780" spans="2:16">
      <c r="B780" s="587" t="s">
        <v>868</v>
      </c>
      <c r="C780" s="587" t="s">
        <v>869</v>
      </c>
      <c r="D780" s="587" t="s">
        <v>871</v>
      </c>
      <c r="E780" s="587"/>
      <c r="F780" s="587" t="str">
        <f t="shared" si="65"/>
        <v>Marche à pied (exclusivement sur tout le trajet)</v>
      </c>
      <c r="G780" s="587">
        <f t="shared" si="66"/>
        <v>7</v>
      </c>
      <c r="H780" s="587"/>
      <c r="I780" s="587">
        <v>5</v>
      </c>
      <c r="J780" s="587">
        <f t="shared" si="67"/>
        <v>0</v>
      </c>
      <c r="K780" s="587"/>
      <c r="L780" s="587"/>
      <c r="M780" s="587">
        <f t="shared" si="64"/>
        <v>7</v>
      </c>
      <c r="N780" s="587">
        <f t="shared" si="64"/>
        <v>0</v>
      </c>
      <c r="O780" s="587">
        <f t="shared" si="64"/>
        <v>0</v>
      </c>
      <c r="P780" s="587">
        <f t="shared" si="63"/>
        <v>0</v>
      </c>
    </row>
    <row r="781" spans="2:16">
      <c r="B781" s="587" t="s">
        <v>868</v>
      </c>
      <c r="C781" s="587" t="s">
        <v>869</v>
      </c>
      <c r="D781" s="587" t="s">
        <v>871</v>
      </c>
      <c r="E781" s="587"/>
      <c r="F781" s="587" t="str">
        <f t="shared" si="65"/>
        <v>Marche à pied (exclusivement sur tout le trajet)</v>
      </c>
      <c r="G781" s="587">
        <f t="shared" si="66"/>
        <v>7</v>
      </c>
      <c r="H781" s="587"/>
      <c r="I781" s="587">
        <v>15</v>
      </c>
      <c r="J781" s="587">
        <f t="shared" si="67"/>
        <v>0</v>
      </c>
      <c r="K781" s="587"/>
      <c r="L781" s="587"/>
      <c r="M781" s="587">
        <f t="shared" si="64"/>
        <v>7</v>
      </c>
      <c r="N781" s="587">
        <f t="shared" si="64"/>
        <v>0</v>
      </c>
      <c r="O781" s="587">
        <f t="shared" si="64"/>
        <v>0</v>
      </c>
      <c r="P781" s="587">
        <f t="shared" si="63"/>
        <v>0</v>
      </c>
    </row>
    <row r="782" spans="2:16">
      <c r="B782" s="587" t="s">
        <v>868</v>
      </c>
      <c r="C782" s="587" t="s">
        <v>869</v>
      </c>
      <c r="D782" s="587" t="s">
        <v>871</v>
      </c>
      <c r="E782" s="587"/>
      <c r="F782" s="587" t="str">
        <f t="shared" si="65"/>
        <v>Marche à pied (exclusivement sur tout le trajet)</v>
      </c>
      <c r="G782" s="587">
        <f t="shared" si="66"/>
        <v>7</v>
      </c>
      <c r="H782" s="587"/>
      <c r="I782" s="587">
        <v>18</v>
      </c>
      <c r="J782" s="587">
        <f t="shared" si="67"/>
        <v>0</v>
      </c>
      <c r="K782" s="587"/>
      <c r="L782" s="587"/>
      <c r="M782" s="587">
        <f t="shared" si="64"/>
        <v>7</v>
      </c>
      <c r="N782" s="587">
        <f t="shared" si="64"/>
        <v>0</v>
      </c>
      <c r="O782" s="587">
        <f t="shared" si="64"/>
        <v>0</v>
      </c>
      <c r="P782" s="587">
        <f t="shared" si="63"/>
        <v>0</v>
      </c>
    </row>
    <row r="783" spans="2:16">
      <c r="B783" s="587" t="s">
        <v>868</v>
      </c>
      <c r="C783" s="587" t="s">
        <v>869</v>
      </c>
      <c r="D783" s="587" t="s">
        <v>871</v>
      </c>
      <c r="E783" s="587"/>
      <c r="F783" s="587" t="str">
        <f t="shared" si="65"/>
        <v>Marche à pied (exclusivement sur tout le trajet)</v>
      </c>
      <c r="G783" s="587">
        <f t="shared" si="66"/>
        <v>7</v>
      </c>
      <c r="H783" s="587"/>
      <c r="I783" s="587">
        <v>12</v>
      </c>
      <c r="J783" s="587">
        <f t="shared" si="67"/>
        <v>0</v>
      </c>
      <c r="K783" s="587"/>
      <c r="L783" s="587"/>
      <c r="M783" s="587">
        <f t="shared" si="64"/>
        <v>7</v>
      </c>
      <c r="N783" s="587">
        <f t="shared" si="64"/>
        <v>0</v>
      </c>
      <c r="O783" s="587">
        <f t="shared" si="64"/>
        <v>0</v>
      </c>
      <c r="P783" s="587">
        <f t="shared" si="63"/>
        <v>0</v>
      </c>
    </row>
    <row r="784" spans="2:16">
      <c r="B784" s="587" t="s">
        <v>868</v>
      </c>
      <c r="C784" s="587" t="s">
        <v>869</v>
      </c>
      <c r="D784" s="587" t="s">
        <v>879</v>
      </c>
      <c r="E784" s="587"/>
      <c r="F784" s="587" t="str">
        <f t="shared" si="65"/>
        <v>Voiture (seul(e))</v>
      </c>
      <c r="G784" s="587">
        <f t="shared" si="66"/>
        <v>3</v>
      </c>
      <c r="H784" s="587"/>
      <c r="I784" s="587">
        <v>25</v>
      </c>
      <c r="J784" s="587">
        <f t="shared" si="67"/>
        <v>2.7600000000000002</v>
      </c>
      <c r="K784" s="587"/>
      <c r="L784" s="587"/>
      <c r="M784" s="587">
        <f t="shared" si="64"/>
        <v>3</v>
      </c>
      <c r="N784" s="587">
        <f t="shared" si="64"/>
        <v>0</v>
      </c>
      <c r="O784" s="587">
        <f t="shared" si="64"/>
        <v>0</v>
      </c>
      <c r="P784" s="587">
        <f t="shared" si="63"/>
        <v>0</v>
      </c>
    </row>
    <row r="785" spans="2:16">
      <c r="B785" s="587" t="s">
        <v>868</v>
      </c>
      <c r="C785" s="587" t="s">
        <v>869</v>
      </c>
      <c r="D785" s="587" t="s">
        <v>872</v>
      </c>
      <c r="E785" s="587"/>
      <c r="F785" s="587" t="str">
        <f t="shared" si="65"/>
        <v>Vélo personnel (y compris vélo à assistance électrique)</v>
      </c>
      <c r="G785" s="587">
        <f t="shared" si="66"/>
        <v>7</v>
      </c>
      <c r="H785" s="587"/>
      <c r="I785" s="587">
        <v>15</v>
      </c>
      <c r="J785" s="587">
        <f t="shared" si="67"/>
        <v>0</v>
      </c>
      <c r="K785" s="587"/>
      <c r="L785" s="587"/>
      <c r="M785" s="587">
        <f t="shared" si="64"/>
        <v>7</v>
      </c>
      <c r="N785" s="587">
        <f t="shared" si="64"/>
        <v>0</v>
      </c>
      <c r="O785" s="587">
        <f t="shared" si="64"/>
        <v>0</v>
      </c>
      <c r="P785" s="587">
        <f t="shared" si="63"/>
        <v>0</v>
      </c>
    </row>
    <row r="786" spans="2:16">
      <c r="B786" s="587" t="s">
        <v>868</v>
      </c>
      <c r="C786" s="587" t="s">
        <v>869</v>
      </c>
      <c r="D786" s="587" t="s">
        <v>871</v>
      </c>
      <c r="E786" s="587"/>
      <c r="F786" s="587" t="str">
        <f t="shared" si="65"/>
        <v>Marche à pied (exclusivement sur tout le trajet)</v>
      </c>
      <c r="G786" s="587">
        <f t="shared" si="66"/>
        <v>7</v>
      </c>
      <c r="H786" s="587"/>
      <c r="I786" s="587">
        <v>2</v>
      </c>
      <c r="J786" s="587">
        <f t="shared" si="67"/>
        <v>0</v>
      </c>
      <c r="K786" s="587"/>
      <c r="L786" s="587"/>
      <c r="M786" s="587">
        <f t="shared" si="64"/>
        <v>7</v>
      </c>
      <c r="N786" s="587">
        <f t="shared" si="64"/>
        <v>0</v>
      </c>
      <c r="O786" s="587">
        <f t="shared" si="64"/>
        <v>0</v>
      </c>
      <c r="P786" s="587">
        <f t="shared" si="63"/>
        <v>0</v>
      </c>
    </row>
    <row r="787" spans="2:16">
      <c r="B787" s="587" t="s">
        <v>868</v>
      </c>
      <c r="C787" s="587" t="s">
        <v>869</v>
      </c>
      <c r="D787" s="587" t="s">
        <v>871</v>
      </c>
      <c r="E787" s="587"/>
      <c r="F787" s="587" t="str">
        <f t="shared" si="65"/>
        <v>Marche à pied (exclusivement sur tout le trajet)</v>
      </c>
      <c r="G787" s="587">
        <f t="shared" si="66"/>
        <v>7</v>
      </c>
      <c r="H787" s="587"/>
      <c r="I787" s="587">
        <v>10</v>
      </c>
      <c r="J787" s="587">
        <f t="shared" si="67"/>
        <v>0</v>
      </c>
      <c r="K787" s="587"/>
      <c r="L787" s="587"/>
      <c r="M787" s="587">
        <f t="shared" si="64"/>
        <v>7</v>
      </c>
      <c r="N787" s="587">
        <f t="shared" si="64"/>
        <v>0</v>
      </c>
      <c r="O787" s="587">
        <f t="shared" si="64"/>
        <v>0</v>
      </c>
      <c r="P787" s="587">
        <f t="shared" si="63"/>
        <v>0</v>
      </c>
    </row>
    <row r="788" spans="2:16">
      <c r="B788" s="587" t="s">
        <v>868</v>
      </c>
      <c r="C788" s="587" t="s">
        <v>875</v>
      </c>
      <c r="D788" s="587" t="s">
        <v>879</v>
      </c>
      <c r="E788" s="587"/>
      <c r="F788" s="587" t="str">
        <f t="shared" si="65"/>
        <v>Voiture (seul(e))</v>
      </c>
      <c r="G788" s="587">
        <f t="shared" si="66"/>
        <v>3</v>
      </c>
      <c r="H788" s="587"/>
      <c r="I788" s="587">
        <v>40</v>
      </c>
      <c r="J788" s="587">
        <f t="shared" si="67"/>
        <v>2.7600000000000002</v>
      </c>
      <c r="K788" s="587"/>
      <c r="L788" s="587"/>
      <c r="M788" s="587">
        <f t="shared" si="64"/>
        <v>0</v>
      </c>
      <c r="N788" s="587">
        <f t="shared" si="64"/>
        <v>3</v>
      </c>
      <c r="O788" s="587">
        <f t="shared" si="64"/>
        <v>0</v>
      </c>
      <c r="P788" s="587">
        <f t="shared" si="63"/>
        <v>0</v>
      </c>
    </row>
    <row r="789" spans="2:16">
      <c r="B789" s="587" t="s">
        <v>868</v>
      </c>
      <c r="C789" s="587" t="s">
        <v>869</v>
      </c>
      <c r="D789" s="587" t="s">
        <v>848</v>
      </c>
      <c r="E789" s="587"/>
      <c r="F789" s="587" t="str">
        <f t="shared" si="65"/>
        <v>Bus</v>
      </c>
      <c r="G789" s="587">
        <f t="shared" si="66"/>
        <v>2</v>
      </c>
      <c r="H789" s="587"/>
      <c r="I789" s="587">
        <v>25</v>
      </c>
      <c r="J789" s="587">
        <f t="shared" si="67"/>
        <v>1.29</v>
      </c>
      <c r="K789" s="587"/>
      <c r="L789" s="587"/>
      <c r="M789" s="587">
        <f t="shared" si="64"/>
        <v>2</v>
      </c>
      <c r="N789" s="587">
        <f t="shared" si="64"/>
        <v>0</v>
      </c>
      <c r="O789" s="587">
        <f t="shared" si="64"/>
        <v>0</v>
      </c>
      <c r="P789" s="587">
        <f t="shared" si="63"/>
        <v>0</v>
      </c>
    </row>
    <row r="790" spans="2:16">
      <c r="B790" s="587" t="s">
        <v>868</v>
      </c>
      <c r="C790" s="587" t="s">
        <v>869</v>
      </c>
      <c r="D790" s="587" t="s">
        <v>871</v>
      </c>
      <c r="E790" s="587"/>
      <c r="F790" s="587" t="str">
        <f t="shared" si="65"/>
        <v>Marche à pied (exclusivement sur tout le trajet)</v>
      </c>
      <c r="G790" s="587">
        <f t="shared" si="66"/>
        <v>7</v>
      </c>
      <c r="H790" s="587"/>
      <c r="I790" s="587">
        <v>8</v>
      </c>
      <c r="J790" s="587">
        <f t="shared" si="67"/>
        <v>0</v>
      </c>
      <c r="K790" s="587"/>
      <c r="L790" s="587"/>
      <c r="M790" s="587">
        <f t="shared" si="64"/>
        <v>7</v>
      </c>
      <c r="N790" s="587">
        <f t="shared" si="64"/>
        <v>0</v>
      </c>
      <c r="O790" s="587">
        <f t="shared" si="64"/>
        <v>0</v>
      </c>
      <c r="P790" s="587">
        <f t="shared" si="63"/>
        <v>0</v>
      </c>
    </row>
    <row r="791" spans="2:16">
      <c r="B791" s="587" t="s">
        <v>868</v>
      </c>
      <c r="C791" s="587" t="s">
        <v>869</v>
      </c>
      <c r="D791" s="587" t="s">
        <v>871</v>
      </c>
      <c r="E791" s="587"/>
      <c r="F791" s="587" t="str">
        <f t="shared" si="65"/>
        <v>Marche à pied (exclusivement sur tout le trajet)</v>
      </c>
      <c r="G791" s="587">
        <f t="shared" si="66"/>
        <v>7</v>
      </c>
      <c r="H791" s="587"/>
      <c r="I791" s="587">
        <v>12</v>
      </c>
      <c r="J791" s="587">
        <f t="shared" si="67"/>
        <v>0</v>
      </c>
      <c r="K791" s="587"/>
      <c r="L791" s="587"/>
      <c r="M791" s="587">
        <f t="shared" si="64"/>
        <v>7</v>
      </c>
      <c r="N791" s="587">
        <f t="shared" si="64"/>
        <v>0</v>
      </c>
      <c r="O791" s="587">
        <f t="shared" si="64"/>
        <v>0</v>
      </c>
      <c r="P791" s="587">
        <f t="shared" si="63"/>
        <v>0</v>
      </c>
    </row>
    <row r="792" spans="2:16">
      <c r="B792" s="587" t="s">
        <v>868</v>
      </c>
      <c r="C792" s="587" t="s">
        <v>875</v>
      </c>
      <c r="D792" s="587" t="s">
        <v>879</v>
      </c>
      <c r="E792" s="587"/>
      <c r="F792" s="587" t="str">
        <f t="shared" si="65"/>
        <v>Voiture (seul(e))</v>
      </c>
      <c r="G792" s="587">
        <f t="shared" si="66"/>
        <v>3</v>
      </c>
      <c r="H792" s="587"/>
      <c r="I792" s="587">
        <v>40</v>
      </c>
      <c r="J792" s="587">
        <f t="shared" si="67"/>
        <v>2.7600000000000002</v>
      </c>
      <c r="K792" s="587"/>
      <c r="L792" s="587"/>
      <c r="M792" s="587">
        <f t="shared" si="64"/>
        <v>0</v>
      </c>
      <c r="N792" s="587">
        <f t="shared" si="64"/>
        <v>3</v>
      </c>
      <c r="O792" s="587">
        <f t="shared" si="64"/>
        <v>0</v>
      </c>
      <c r="P792" s="587">
        <f t="shared" si="63"/>
        <v>0</v>
      </c>
    </row>
    <row r="793" spans="2:16">
      <c r="B793" s="587" t="s">
        <v>868</v>
      </c>
      <c r="C793" s="587" t="s">
        <v>875</v>
      </c>
      <c r="D793" s="587" t="s">
        <v>848</v>
      </c>
      <c r="E793" s="587"/>
      <c r="F793" s="587" t="str">
        <f t="shared" si="65"/>
        <v>Bus</v>
      </c>
      <c r="G793" s="587">
        <f t="shared" si="66"/>
        <v>2</v>
      </c>
      <c r="H793" s="587"/>
      <c r="I793" s="587">
        <v>45</v>
      </c>
      <c r="J793" s="587">
        <f t="shared" si="67"/>
        <v>1.29</v>
      </c>
      <c r="K793" s="587"/>
      <c r="L793" s="587"/>
      <c r="M793" s="587">
        <f t="shared" si="64"/>
        <v>0</v>
      </c>
      <c r="N793" s="587">
        <f t="shared" si="64"/>
        <v>2</v>
      </c>
      <c r="O793" s="587">
        <f t="shared" si="64"/>
        <v>0</v>
      </c>
      <c r="P793" s="587">
        <f t="shared" si="64"/>
        <v>0</v>
      </c>
    </row>
    <row r="794" spans="2:16">
      <c r="B794" s="587" t="s">
        <v>868</v>
      </c>
      <c r="C794" s="587" t="s">
        <v>869</v>
      </c>
      <c r="D794" s="587" t="s">
        <v>876</v>
      </c>
      <c r="E794" s="587"/>
      <c r="F794" s="587" t="str">
        <f t="shared" si="65"/>
        <v>Trottinette, roller, skateboard,...</v>
      </c>
      <c r="G794" s="587">
        <f t="shared" si="66"/>
        <v>7</v>
      </c>
      <c r="H794" s="587"/>
      <c r="I794" s="587">
        <v>2</v>
      </c>
      <c r="J794" s="587">
        <f t="shared" si="67"/>
        <v>0</v>
      </c>
      <c r="K794" s="587"/>
      <c r="L794" s="587"/>
      <c r="M794" s="587">
        <f t="shared" ref="M794:P857" si="68">IF($C794=M$27,$G794,0)</f>
        <v>7</v>
      </c>
      <c r="N794" s="587">
        <f t="shared" si="68"/>
        <v>0</v>
      </c>
      <c r="O794" s="587">
        <f t="shared" si="68"/>
        <v>0</v>
      </c>
      <c r="P794" s="587">
        <f t="shared" si="68"/>
        <v>0</v>
      </c>
    </row>
    <row r="795" spans="2:16">
      <c r="B795" s="587" t="s">
        <v>868</v>
      </c>
      <c r="C795" s="587" t="s">
        <v>869</v>
      </c>
      <c r="D795" s="587" t="s">
        <v>848</v>
      </c>
      <c r="E795" s="587"/>
      <c r="F795" s="587" t="str">
        <f t="shared" si="65"/>
        <v>Bus</v>
      </c>
      <c r="G795" s="587">
        <f t="shared" si="66"/>
        <v>2</v>
      </c>
      <c r="H795" s="587"/>
      <c r="I795" s="587">
        <v>30</v>
      </c>
      <c r="J795" s="587">
        <f t="shared" si="67"/>
        <v>1.29</v>
      </c>
      <c r="K795" s="587"/>
      <c r="L795" s="587"/>
      <c r="M795" s="587">
        <f t="shared" si="68"/>
        <v>2</v>
      </c>
      <c r="N795" s="587">
        <f t="shared" si="68"/>
        <v>0</v>
      </c>
      <c r="O795" s="587">
        <f t="shared" si="68"/>
        <v>0</v>
      </c>
      <c r="P795" s="587">
        <f t="shared" si="68"/>
        <v>0</v>
      </c>
    </row>
    <row r="796" spans="2:16">
      <c r="B796" s="587" t="s">
        <v>868</v>
      </c>
      <c r="C796" s="587" t="s">
        <v>882</v>
      </c>
      <c r="D796" s="587" t="s">
        <v>873</v>
      </c>
      <c r="E796" s="587"/>
      <c r="F796" s="587" t="str">
        <f t="shared" si="65"/>
        <v>Tramway</v>
      </c>
      <c r="G796" s="587">
        <f t="shared" si="66"/>
        <v>1</v>
      </c>
      <c r="H796" s="587"/>
      <c r="I796" s="587">
        <v>15</v>
      </c>
      <c r="J796" s="587">
        <f t="shared" si="67"/>
        <v>4.8833333333333326E-2</v>
      </c>
      <c r="K796" s="587"/>
      <c r="L796" s="587"/>
      <c r="M796" s="587">
        <f t="shared" si="68"/>
        <v>0</v>
      </c>
      <c r="N796" s="587">
        <f t="shared" si="68"/>
        <v>0</v>
      </c>
      <c r="O796" s="587">
        <f t="shared" si="68"/>
        <v>1</v>
      </c>
      <c r="P796" s="587">
        <f t="shared" si="68"/>
        <v>0</v>
      </c>
    </row>
    <row r="797" spans="2:16">
      <c r="B797" s="587" t="s">
        <v>868</v>
      </c>
      <c r="C797" s="587" t="s">
        <v>882</v>
      </c>
      <c r="D797" s="587"/>
      <c r="E797" s="587" t="s">
        <v>848</v>
      </c>
      <c r="F797" s="587" t="str">
        <f t="shared" si="65"/>
        <v>Bus</v>
      </c>
      <c r="G797" s="587">
        <f t="shared" si="66"/>
        <v>2</v>
      </c>
      <c r="H797" s="587"/>
      <c r="I797" s="587">
        <v>45</v>
      </c>
      <c r="J797" s="587">
        <f t="shared" si="67"/>
        <v>1.29</v>
      </c>
      <c r="K797" s="587"/>
      <c r="L797" s="587"/>
      <c r="M797" s="587">
        <f t="shared" si="68"/>
        <v>0</v>
      </c>
      <c r="N797" s="587">
        <f t="shared" si="68"/>
        <v>0</v>
      </c>
      <c r="O797" s="587">
        <f t="shared" si="68"/>
        <v>2</v>
      </c>
      <c r="P797" s="587">
        <f t="shared" si="68"/>
        <v>0</v>
      </c>
    </row>
    <row r="798" spans="2:16">
      <c r="B798" s="587" t="s">
        <v>868</v>
      </c>
      <c r="C798" s="587" t="s">
        <v>869</v>
      </c>
      <c r="D798" s="587" t="s">
        <v>871</v>
      </c>
      <c r="E798" s="587"/>
      <c r="F798" s="587" t="str">
        <f t="shared" si="65"/>
        <v>Marche à pied (exclusivement sur tout le trajet)</v>
      </c>
      <c r="G798" s="587">
        <f t="shared" si="66"/>
        <v>7</v>
      </c>
      <c r="H798" s="587"/>
      <c r="I798" s="587">
        <v>2</v>
      </c>
      <c r="J798" s="587">
        <f t="shared" si="67"/>
        <v>0</v>
      </c>
      <c r="K798" s="587"/>
      <c r="L798" s="587"/>
      <c r="M798" s="587">
        <f t="shared" si="68"/>
        <v>7</v>
      </c>
      <c r="N798" s="587">
        <f t="shared" si="68"/>
        <v>0</v>
      </c>
      <c r="O798" s="587">
        <f t="shared" si="68"/>
        <v>0</v>
      </c>
      <c r="P798" s="587">
        <f t="shared" si="68"/>
        <v>0</v>
      </c>
    </row>
    <row r="799" spans="2:16">
      <c r="B799" s="587" t="s">
        <v>868</v>
      </c>
      <c r="C799" s="587" t="s">
        <v>875</v>
      </c>
      <c r="D799" s="587" t="s">
        <v>879</v>
      </c>
      <c r="E799" s="587"/>
      <c r="F799" s="587" t="str">
        <f t="shared" si="65"/>
        <v>Voiture (seul(e))</v>
      </c>
      <c r="G799" s="587">
        <f t="shared" si="66"/>
        <v>3</v>
      </c>
      <c r="H799" s="587"/>
      <c r="I799" s="587">
        <v>20</v>
      </c>
      <c r="J799" s="587">
        <f t="shared" si="67"/>
        <v>2.7600000000000002</v>
      </c>
      <c r="K799" s="587"/>
      <c r="L799" s="587"/>
      <c r="M799" s="587">
        <f t="shared" si="68"/>
        <v>0</v>
      </c>
      <c r="N799" s="587">
        <f t="shared" si="68"/>
        <v>3</v>
      </c>
      <c r="O799" s="587">
        <f t="shared" si="68"/>
        <v>0</v>
      </c>
      <c r="P799" s="587">
        <f t="shared" si="68"/>
        <v>0</v>
      </c>
    </row>
    <row r="800" spans="2:16">
      <c r="B800" s="587" t="s">
        <v>868</v>
      </c>
      <c r="C800" s="587" t="s">
        <v>869</v>
      </c>
      <c r="D800" s="587" t="s">
        <v>872</v>
      </c>
      <c r="E800" s="587"/>
      <c r="F800" s="587" t="str">
        <f t="shared" si="65"/>
        <v>Vélo personnel (y compris vélo à assistance électrique)</v>
      </c>
      <c r="G800" s="587">
        <f t="shared" si="66"/>
        <v>7</v>
      </c>
      <c r="H800" s="587"/>
      <c r="I800" s="587">
        <v>30</v>
      </c>
      <c r="J800" s="587">
        <f t="shared" si="67"/>
        <v>0</v>
      </c>
      <c r="K800" s="587"/>
      <c r="L800" s="587"/>
      <c r="M800" s="587">
        <f t="shared" si="68"/>
        <v>7</v>
      </c>
      <c r="N800" s="587">
        <f t="shared" si="68"/>
        <v>0</v>
      </c>
      <c r="O800" s="587">
        <f t="shared" si="68"/>
        <v>0</v>
      </c>
      <c r="P800" s="587">
        <f t="shared" si="68"/>
        <v>0</v>
      </c>
    </row>
    <row r="801" spans="2:16">
      <c r="B801" s="587" t="s">
        <v>868</v>
      </c>
      <c r="C801" s="587" t="s">
        <v>869</v>
      </c>
      <c r="D801" s="587" t="s">
        <v>871</v>
      </c>
      <c r="E801" s="587"/>
      <c r="F801" s="587" t="str">
        <f t="shared" si="65"/>
        <v>Marche à pied (exclusivement sur tout le trajet)</v>
      </c>
      <c r="G801" s="587">
        <f t="shared" si="66"/>
        <v>7</v>
      </c>
      <c r="H801" s="587"/>
      <c r="I801" s="587">
        <v>12</v>
      </c>
      <c r="J801" s="587">
        <f t="shared" si="67"/>
        <v>0</v>
      </c>
      <c r="K801" s="587"/>
      <c r="L801" s="587"/>
      <c r="M801" s="587">
        <f t="shared" si="68"/>
        <v>7</v>
      </c>
      <c r="N801" s="587">
        <f t="shared" si="68"/>
        <v>0</v>
      </c>
      <c r="O801" s="587">
        <f t="shared" si="68"/>
        <v>0</v>
      </c>
      <c r="P801" s="587">
        <f t="shared" si="68"/>
        <v>0</v>
      </c>
    </row>
    <row r="802" spans="2:16">
      <c r="B802" s="587" t="s">
        <v>868</v>
      </c>
      <c r="C802" s="587" t="s">
        <v>882</v>
      </c>
      <c r="D802" s="587" t="s">
        <v>873</v>
      </c>
      <c r="E802" s="587"/>
      <c r="F802" s="587" t="str">
        <f t="shared" si="65"/>
        <v>Tramway</v>
      </c>
      <c r="G802" s="587">
        <f t="shared" si="66"/>
        <v>1</v>
      </c>
      <c r="H802" s="587"/>
      <c r="I802" s="587">
        <v>35</v>
      </c>
      <c r="J802" s="587">
        <f t="shared" si="67"/>
        <v>4.8833333333333326E-2</v>
      </c>
      <c r="K802" s="587"/>
      <c r="L802" s="587"/>
      <c r="M802" s="587">
        <f t="shared" si="68"/>
        <v>0</v>
      </c>
      <c r="N802" s="587">
        <f t="shared" si="68"/>
        <v>0</v>
      </c>
      <c r="O802" s="587">
        <f t="shared" si="68"/>
        <v>1</v>
      </c>
      <c r="P802" s="587">
        <f t="shared" si="68"/>
        <v>0</v>
      </c>
    </row>
    <row r="803" spans="2:16">
      <c r="B803" s="587" t="s">
        <v>868</v>
      </c>
      <c r="C803" s="587" t="s">
        <v>869</v>
      </c>
      <c r="D803" s="587" t="s">
        <v>872</v>
      </c>
      <c r="E803" s="587"/>
      <c r="F803" s="587" t="str">
        <f t="shared" si="65"/>
        <v>Vélo personnel (y compris vélo à assistance électrique)</v>
      </c>
      <c r="G803" s="587">
        <f t="shared" si="66"/>
        <v>7</v>
      </c>
      <c r="H803" s="587"/>
      <c r="I803" s="587">
        <v>8</v>
      </c>
      <c r="J803" s="587">
        <f t="shared" si="67"/>
        <v>0</v>
      </c>
      <c r="K803" s="587"/>
      <c r="L803" s="587"/>
      <c r="M803" s="587">
        <f t="shared" si="68"/>
        <v>7</v>
      </c>
      <c r="N803" s="587">
        <f t="shared" si="68"/>
        <v>0</v>
      </c>
      <c r="O803" s="587">
        <f t="shared" si="68"/>
        <v>0</v>
      </c>
      <c r="P803" s="587">
        <f t="shared" si="68"/>
        <v>0</v>
      </c>
    </row>
    <row r="804" spans="2:16">
      <c r="B804" s="587" t="s">
        <v>868</v>
      </c>
      <c r="C804" s="587" t="s">
        <v>869</v>
      </c>
      <c r="D804" s="587" t="s">
        <v>872</v>
      </c>
      <c r="E804" s="587"/>
      <c r="F804" s="587" t="str">
        <f t="shared" si="65"/>
        <v>Vélo personnel (y compris vélo à assistance électrique)</v>
      </c>
      <c r="G804" s="587">
        <f t="shared" si="66"/>
        <v>7</v>
      </c>
      <c r="H804" s="587"/>
      <c r="I804" s="587">
        <v>6</v>
      </c>
      <c r="J804" s="587">
        <f t="shared" si="67"/>
        <v>0</v>
      </c>
      <c r="K804" s="587"/>
      <c r="L804" s="587"/>
      <c r="M804" s="587">
        <f t="shared" si="68"/>
        <v>7</v>
      </c>
      <c r="N804" s="587">
        <f t="shared" si="68"/>
        <v>0</v>
      </c>
      <c r="O804" s="587">
        <f t="shared" si="68"/>
        <v>0</v>
      </c>
      <c r="P804" s="587">
        <f t="shared" si="68"/>
        <v>0</v>
      </c>
    </row>
    <row r="805" spans="2:16">
      <c r="B805" s="587" t="s">
        <v>868</v>
      </c>
      <c r="C805" s="587" t="s">
        <v>869</v>
      </c>
      <c r="D805" s="587" t="s">
        <v>871</v>
      </c>
      <c r="E805" s="587"/>
      <c r="F805" s="587" t="str">
        <f t="shared" si="65"/>
        <v>Marche à pied (exclusivement sur tout le trajet)</v>
      </c>
      <c r="G805" s="587">
        <f t="shared" si="66"/>
        <v>7</v>
      </c>
      <c r="H805" s="587"/>
      <c r="I805" s="587">
        <v>10</v>
      </c>
      <c r="J805" s="587">
        <f t="shared" si="67"/>
        <v>0</v>
      </c>
      <c r="K805" s="587"/>
      <c r="L805" s="587"/>
      <c r="M805" s="587">
        <f t="shared" si="68"/>
        <v>7</v>
      </c>
      <c r="N805" s="587">
        <f t="shared" si="68"/>
        <v>0</v>
      </c>
      <c r="O805" s="587">
        <f t="shared" si="68"/>
        <v>0</v>
      </c>
      <c r="P805" s="587">
        <f t="shared" si="68"/>
        <v>0</v>
      </c>
    </row>
    <row r="806" spans="2:16">
      <c r="B806" s="587" t="s">
        <v>868</v>
      </c>
      <c r="C806" s="587" t="s">
        <v>869</v>
      </c>
      <c r="D806" s="587" t="s">
        <v>872</v>
      </c>
      <c r="E806" s="587"/>
      <c r="F806" s="587" t="str">
        <f t="shared" si="65"/>
        <v>Vélo personnel (y compris vélo à assistance électrique)</v>
      </c>
      <c r="G806" s="587">
        <f t="shared" si="66"/>
        <v>7</v>
      </c>
      <c r="H806" s="587"/>
      <c r="I806" s="587">
        <v>20</v>
      </c>
      <c r="J806" s="587">
        <f t="shared" si="67"/>
        <v>0</v>
      </c>
      <c r="K806" s="587"/>
      <c r="L806" s="587"/>
      <c r="M806" s="587">
        <f t="shared" si="68"/>
        <v>7</v>
      </c>
      <c r="N806" s="587">
        <f t="shared" si="68"/>
        <v>0</v>
      </c>
      <c r="O806" s="587">
        <f t="shared" si="68"/>
        <v>0</v>
      </c>
      <c r="P806" s="587">
        <f t="shared" si="68"/>
        <v>0</v>
      </c>
    </row>
    <row r="807" spans="2:16">
      <c r="B807" s="587" t="s">
        <v>868</v>
      </c>
      <c r="C807" s="587" t="s">
        <v>875</v>
      </c>
      <c r="D807" s="587" t="s">
        <v>871</v>
      </c>
      <c r="E807" s="587"/>
      <c r="F807" s="587" t="str">
        <f t="shared" si="65"/>
        <v>Marche à pied (exclusivement sur tout le trajet)</v>
      </c>
      <c r="G807" s="587">
        <f t="shared" si="66"/>
        <v>7</v>
      </c>
      <c r="H807" s="587"/>
      <c r="I807" s="587">
        <v>10</v>
      </c>
      <c r="J807" s="587">
        <f t="shared" si="67"/>
        <v>0</v>
      </c>
      <c r="K807" s="587"/>
      <c r="L807" s="587"/>
      <c r="M807" s="587">
        <f t="shared" si="68"/>
        <v>0</v>
      </c>
      <c r="N807" s="587">
        <f t="shared" si="68"/>
        <v>7</v>
      </c>
      <c r="O807" s="587">
        <f t="shared" si="68"/>
        <v>0</v>
      </c>
      <c r="P807" s="587">
        <f t="shared" si="68"/>
        <v>0</v>
      </c>
    </row>
    <row r="808" spans="2:16">
      <c r="B808" s="587" t="s">
        <v>868</v>
      </c>
      <c r="C808" s="587" t="s">
        <v>869</v>
      </c>
      <c r="D808" s="587"/>
      <c r="E808" s="587" t="s">
        <v>873</v>
      </c>
      <c r="F808" s="587" t="str">
        <f t="shared" si="65"/>
        <v>Tramway</v>
      </c>
      <c r="G808" s="587">
        <f t="shared" si="66"/>
        <v>1</v>
      </c>
      <c r="H808" s="587"/>
      <c r="I808" s="587">
        <v>30</v>
      </c>
      <c r="J808" s="587">
        <f t="shared" si="67"/>
        <v>4.8833333333333326E-2</v>
      </c>
      <c r="K808" s="587"/>
      <c r="L808" s="587"/>
      <c r="M808" s="587">
        <f t="shared" si="68"/>
        <v>1</v>
      </c>
      <c r="N808" s="587">
        <f t="shared" si="68"/>
        <v>0</v>
      </c>
      <c r="O808" s="587">
        <f t="shared" si="68"/>
        <v>0</v>
      </c>
      <c r="P808" s="587">
        <f t="shared" si="68"/>
        <v>0</v>
      </c>
    </row>
    <row r="809" spans="2:16">
      <c r="B809" s="587" t="s">
        <v>868</v>
      </c>
      <c r="C809" s="587" t="s">
        <v>869</v>
      </c>
      <c r="D809" s="587" t="s">
        <v>880</v>
      </c>
      <c r="E809" s="587"/>
      <c r="F809" s="587" t="str">
        <f t="shared" si="65"/>
        <v>Train (TER,TGV,...)</v>
      </c>
      <c r="G809" s="587">
        <f t="shared" si="66"/>
        <v>6</v>
      </c>
      <c r="H809" s="587"/>
      <c r="I809" s="587">
        <v>45</v>
      </c>
      <c r="J809" s="587">
        <f t="shared" si="67"/>
        <v>0.34600000000000003</v>
      </c>
      <c r="K809" s="587"/>
      <c r="L809" s="587"/>
      <c r="M809" s="587">
        <f t="shared" si="68"/>
        <v>6</v>
      </c>
      <c r="N809" s="587">
        <f t="shared" si="68"/>
        <v>0</v>
      </c>
      <c r="O809" s="587">
        <f t="shared" si="68"/>
        <v>0</v>
      </c>
      <c r="P809" s="587">
        <f t="shared" si="68"/>
        <v>0</v>
      </c>
    </row>
    <row r="810" spans="2:16">
      <c r="B810" s="587" t="s">
        <v>868</v>
      </c>
      <c r="C810" s="587" t="s">
        <v>882</v>
      </c>
      <c r="D810" s="587"/>
      <c r="E810" s="587" t="s">
        <v>870</v>
      </c>
      <c r="F810" s="587" t="str">
        <f t="shared" si="65"/>
        <v>Métro</v>
      </c>
      <c r="G810" s="587">
        <f t="shared" si="66"/>
        <v>1</v>
      </c>
      <c r="H810" s="587"/>
      <c r="I810" s="587">
        <v>40</v>
      </c>
      <c r="J810" s="587">
        <f t="shared" si="67"/>
        <v>4.8833333333333326E-2</v>
      </c>
      <c r="K810" s="587"/>
      <c r="L810" s="587"/>
      <c r="M810" s="587">
        <f t="shared" si="68"/>
        <v>0</v>
      </c>
      <c r="N810" s="587">
        <f t="shared" si="68"/>
        <v>0</v>
      </c>
      <c r="O810" s="587">
        <f t="shared" si="68"/>
        <v>1</v>
      </c>
      <c r="P810" s="587">
        <f t="shared" si="68"/>
        <v>0</v>
      </c>
    </row>
    <row r="811" spans="2:16">
      <c r="B811" s="587" t="s">
        <v>868</v>
      </c>
      <c r="C811" s="587" t="s">
        <v>869</v>
      </c>
      <c r="D811" s="587" t="s">
        <v>871</v>
      </c>
      <c r="E811" s="587"/>
      <c r="F811" s="587" t="str">
        <f t="shared" si="65"/>
        <v>Marche à pied (exclusivement sur tout le trajet)</v>
      </c>
      <c r="G811" s="587">
        <f t="shared" si="66"/>
        <v>7</v>
      </c>
      <c r="H811" s="587"/>
      <c r="I811" s="587">
        <v>1</v>
      </c>
      <c r="J811" s="587">
        <f t="shared" si="67"/>
        <v>0</v>
      </c>
      <c r="K811" s="587"/>
      <c r="L811" s="587"/>
      <c r="M811" s="587">
        <f t="shared" si="68"/>
        <v>7</v>
      </c>
      <c r="N811" s="587">
        <f t="shared" si="68"/>
        <v>0</v>
      </c>
      <c r="O811" s="587">
        <f t="shared" si="68"/>
        <v>0</v>
      </c>
      <c r="P811" s="587">
        <f t="shared" si="68"/>
        <v>0</v>
      </c>
    </row>
    <row r="812" spans="2:16">
      <c r="B812" s="587" t="s">
        <v>868</v>
      </c>
      <c r="C812" s="587" t="s">
        <v>869</v>
      </c>
      <c r="D812" s="587"/>
      <c r="E812" s="587" t="s">
        <v>848</v>
      </c>
      <c r="F812" s="587" t="str">
        <f t="shared" si="65"/>
        <v>Bus</v>
      </c>
      <c r="G812" s="587">
        <f t="shared" si="66"/>
        <v>2</v>
      </c>
      <c r="H812" s="587"/>
      <c r="I812" s="587">
        <v>65</v>
      </c>
      <c r="J812" s="587">
        <f t="shared" si="67"/>
        <v>1.29</v>
      </c>
      <c r="K812" s="587"/>
      <c r="L812" s="587"/>
      <c r="M812" s="587">
        <f t="shared" si="68"/>
        <v>2</v>
      </c>
      <c r="N812" s="587">
        <f t="shared" si="68"/>
        <v>0</v>
      </c>
      <c r="O812" s="587">
        <f t="shared" si="68"/>
        <v>0</v>
      </c>
      <c r="P812" s="587">
        <f t="shared" si="68"/>
        <v>0</v>
      </c>
    </row>
    <row r="813" spans="2:16">
      <c r="B813" s="587" t="s">
        <v>868</v>
      </c>
      <c r="C813" s="587" t="s">
        <v>882</v>
      </c>
      <c r="D813" s="587"/>
      <c r="E813" s="587" t="s">
        <v>870</v>
      </c>
      <c r="F813" s="587" t="str">
        <f t="shared" si="65"/>
        <v>Métro</v>
      </c>
      <c r="G813" s="587">
        <f t="shared" si="66"/>
        <v>1</v>
      </c>
      <c r="H813" s="587"/>
      <c r="I813" s="587">
        <v>30</v>
      </c>
      <c r="J813" s="587">
        <f t="shared" si="67"/>
        <v>4.8833333333333326E-2</v>
      </c>
      <c r="K813" s="587"/>
      <c r="L813" s="587"/>
      <c r="M813" s="587">
        <f t="shared" si="68"/>
        <v>0</v>
      </c>
      <c r="N813" s="587">
        <f t="shared" si="68"/>
        <v>0</v>
      </c>
      <c r="O813" s="587">
        <f t="shared" si="68"/>
        <v>1</v>
      </c>
      <c r="P813" s="587">
        <f t="shared" si="68"/>
        <v>0</v>
      </c>
    </row>
    <row r="814" spans="2:16">
      <c r="B814" s="587" t="s">
        <v>868</v>
      </c>
      <c r="C814" s="587" t="s">
        <v>869</v>
      </c>
      <c r="D814" s="587" t="s">
        <v>873</v>
      </c>
      <c r="E814" s="587"/>
      <c r="F814" s="587" t="str">
        <f t="shared" si="65"/>
        <v>Tramway</v>
      </c>
      <c r="G814" s="587">
        <f t="shared" si="66"/>
        <v>1</v>
      </c>
      <c r="H814" s="587"/>
      <c r="I814" s="587">
        <v>10</v>
      </c>
      <c r="J814" s="587">
        <f t="shared" si="67"/>
        <v>4.8833333333333326E-2</v>
      </c>
      <c r="K814" s="587"/>
      <c r="L814" s="587"/>
      <c r="M814" s="587">
        <f t="shared" si="68"/>
        <v>1</v>
      </c>
      <c r="N814" s="587">
        <f t="shared" si="68"/>
        <v>0</v>
      </c>
      <c r="O814" s="587">
        <f t="shared" si="68"/>
        <v>0</v>
      </c>
      <c r="P814" s="587">
        <f t="shared" si="68"/>
        <v>0</v>
      </c>
    </row>
    <row r="815" spans="2:16">
      <c r="B815" s="587" t="s">
        <v>868</v>
      </c>
      <c r="C815" s="587" t="s">
        <v>869</v>
      </c>
      <c r="D815" s="587" t="s">
        <v>872</v>
      </c>
      <c r="E815" s="587"/>
      <c r="F815" s="587" t="str">
        <f t="shared" si="65"/>
        <v>Vélo personnel (y compris vélo à assistance électrique)</v>
      </c>
      <c r="G815" s="587">
        <f t="shared" si="66"/>
        <v>7</v>
      </c>
      <c r="H815" s="587"/>
      <c r="I815" s="587">
        <v>15</v>
      </c>
      <c r="J815" s="587">
        <f t="shared" si="67"/>
        <v>0</v>
      </c>
      <c r="K815" s="587"/>
      <c r="L815" s="587"/>
      <c r="M815" s="587">
        <f t="shared" si="68"/>
        <v>7</v>
      </c>
      <c r="N815" s="587">
        <f t="shared" si="68"/>
        <v>0</v>
      </c>
      <c r="O815" s="587">
        <f t="shared" si="68"/>
        <v>0</v>
      </c>
      <c r="P815" s="587">
        <f t="shared" si="68"/>
        <v>0</v>
      </c>
    </row>
    <row r="816" spans="2:16">
      <c r="B816" s="587" t="s">
        <v>868</v>
      </c>
      <c r="C816" s="587" t="s">
        <v>869</v>
      </c>
      <c r="D816" s="587" t="s">
        <v>872</v>
      </c>
      <c r="E816" s="587"/>
      <c r="F816" s="587" t="str">
        <f t="shared" ref="F816:F827" si="69">IF(D816="",E816,D816)</f>
        <v>Vélo personnel (y compris vélo à assistance électrique)</v>
      </c>
      <c r="G816" s="587">
        <f t="shared" ref="G816:G827" si="70">IF(F816="Métro",1,IF(F816="Tramway",1,IF(F816="Vélo'v",7,IF(F816="Marche à pied (exclusivement sur tout le trajet)",7,IF(F816="Vélo personnel (y compris vélo à assistance électrique)",7,IF(F816="Trottinette, roller, skateboard,…",7,IF(F816="Marche à pied au-delà de 5 minutes",7,IF(F816="Voiture (seul(e))",3,IF(F816="Bus",2,IF(F816="Trottinette, roller, skateboard au-delà de 5 minutes",7,IF(F816="Covoiturage (passager(ère))",4,IF(F816="Trottinette, roller, skateboard,...",7,IF(F816="Vélo’v",7,IF(F816="Train (TER,TGV,...)",6,IF(F816="Deux roues motorisées (moto, scooter, mobylette,…)",5,IF(F816="Covoiturage (conducteur(trice))",4,IF(F816="Train (TER,..)",6,0)))))))))))))))))</f>
        <v>7</v>
      </c>
      <c r="H816" s="587"/>
      <c r="I816" s="587">
        <v>10</v>
      </c>
      <c r="J816" s="587">
        <f t="shared" ref="J816:J827" si="71">IF(G816=1,$C$6*($I$28*$K$6)/$J$6,IF(G816=2,$C$7*($I$28*$K$7)/$J$7,IF(G816=3,$C$8*$I$28*$K$8/$J$8,IF(G816=4,$C$9*$I$28*$K$9/$J$9,IF(G816=5,$C$10*$I$28*$K$10/$J$10,IF(G816=6,$C$11*$K$11*$I$28/$J$11,0))))))</f>
        <v>0</v>
      </c>
      <c r="K816" s="587"/>
      <c r="L816" s="587"/>
      <c r="M816" s="587">
        <f t="shared" si="68"/>
        <v>7</v>
      </c>
      <c r="N816" s="587">
        <f t="shared" si="68"/>
        <v>0</v>
      </c>
      <c r="O816" s="587">
        <f t="shared" si="68"/>
        <v>0</v>
      </c>
      <c r="P816" s="587">
        <f t="shared" si="68"/>
        <v>0</v>
      </c>
    </row>
    <row r="817" spans="2:16">
      <c r="B817" s="587" t="s">
        <v>868</v>
      </c>
      <c r="C817" s="587" t="s">
        <v>869</v>
      </c>
      <c r="D817" s="587" t="s">
        <v>871</v>
      </c>
      <c r="E817" s="587"/>
      <c r="F817" s="587" t="str">
        <f t="shared" si="69"/>
        <v>Marche à pied (exclusivement sur tout le trajet)</v>
      </c>
      <c r="G817" s="587">
        <f t="shared" si="70"/>
        <v>7</v>
      </c>
      <c r="H817" s="587"/>
      <c r="I817" s="587">
        <v>5</v>
      </c>
      <c r="J817" s="587">
        <f t="shared" si="71"/>
        <v>0</v>
      </c>
      <c r="K817" s="587"/>
      <c r="L817" s="587"/>
      <c r="M817" s="587">
        <f t="shared" si="68"/>
        <v>7</v>
      </c>
      <c r="N817" s="587">
        <f t="shared" si="68"/>
        <v>0</v>
      </c>
      <c r="O817" s="587">
        <f t="shared" si="68"/>
        <v>0</v>
      </c>
      <c r="P817" s="587">
        <f t="shared" si="68"/>
        <v>0</v>
      </c>
    </row>
    <row r="818" spans="2:16">
      <c r="B818" s="587" t="s">
        <v>868</v>
      </c>
      <c r="C818" s="587" t="s">
        <v>869</v>
      </c>
      <c r="D818" s="587" t="s">
        <v>871</v>
      </c>
      <c r="E818" s="587"/>
      <c r="F818" s="587" t="str">
        <f t="shared" si="69"/>
        <v>Marche à pied (exclusivement sur tout le trajet)</v>
      </c>
      <c r="G818" s="587">
        <f t="shared" si="70"/>
        <v>7</v>
      </c>
      <c r="H818" s="587"/>
      <c r="I818" s="587">
        <v>12</v>
      </c>
      <c r="J818" s="587">
        <f t="shared" si="71"/>
        <v>0</v>
      </c>
      <c r="K818" s="587"/>
      <c r="L818" s="587"/>
      <c r="M818" s="587">
        <f t="shared" si="68"/>
        <v>7</v>
      </c>
      <c r="N818" s="587">
        <f t="shared" si="68"/>
        <v>0</v>
      </c>
      <c r="O818" s="587">
        <f t="shared" si="68"/>
        <v>0</v>
      </c>
      <c r="P818" s="587">
        <f t="shared" si="68"/>
        <v>0</v>
      </c>
    </row>
    <row r="819" spans="2:16">
      <c r="B819" s="587" t="s">
        <v>868</v>
      </c>
      <c r="C819" s="587" t="s">
        <v>869</v>
      </c>
      <c r="D819" s="587" t="s">
        <v>871</v>
      </c>
      <c r="E819" s="587"/>
      <c r="F819" s="587" t="str">
        <f t="shared" si="69"/>
        <v>Marche à pied (exclusivement sur tout le trajet)</v>
      </c>
      <c r="G819" s="587">
        <f t="shared" si="70"/>
        <v>7</v>
      </c>
      <c r="H819" s="587"/>
      <c r="I819" s="587">
        <v>10</v>
      </c>
      <c r="J819" s="587">
        <f t="shared" si="71"/>
        <v>0</v>
      </c>
      <c r="K819" s="587"/>
      <c r="L819" s="587"/>
      <c r="M819" s="587">
        <f t="shared" si="68"/>
        <v>7</v>
      </c>
      <c r="N819" s="587">
        <f t="shared" si="68"/>
        <v>0</v>
      </c>
      <c r="O819" s="587">
        <f t="shared" si="68"/>
        <v>0</v>
      </c>
      <c r="P819" s="587">
        <f t="shared" si="68"/>
        <v>0</v>
      </c>
    </row>
    <row r="820" spans="2:16">
      <c r="B820" s="587" t="s">
        <v>868</v>
      </c>
      <c r="C820" s="587" t="s">
        <v>869</v>
      </c>
      <c r="D820" s="587" t="s">
        <v>871</v>
      </c>
      <c r="E820" s="587"/>
      <c r="F820" s="587" t="str">
        <f t="shared" si="69"/>
        <v>Marche à pied (exclusivement sur tout le trajet)</v>
      </c>
      <c r="G820" s="587">
        <f t="shared" si="70"/>
        <v>7</v>
      </c>
      <c r="H820" s="587"/>
      <c r="I820" s="587">
        <v>10</v>
      </c>
      <c r="J820" s="587">
        <f t="shared" si="71"/>
        <v>0</v>
      </c>
      <c r="K820" s="587"/>
      <c r="L820" s="587"/>
      <c r="M820" s="587">
        <f t="shared" si="68"/>
        <v>7</v>
      </c>
      <c r="N820" s="587">
        <f t="shared" si="68"/>
        <v>0</v>
      </c>
      <c r="O820" s="587">
        <f t="shared" si="68"/>
        <v>0</v>
      </c>
      <c r="P820" s="587">
        <f t="shared" si="68"/>
        <v>0</v>
      </c>
    </row>
    <row r="821" spans="2:16">
      <c r="B821" s="587" t="s">
        <v>868</v>
      </c>
      <c r="C821" s="587" t="s">
        <v>869</v>
      </c>
      <c r="D821" s="587" t="s">
        <v>872</v>
      </c>
      <c r="E821" s="587"/>
      <c r="F821" s="587" t="str">
        <f t="shared" si="69"/>
        <v>Vélo personnel (y compris vélo à assistance électrique)</v>
      </c>
      <c r="G821" s="587">
        <f t="shared" si="70"/>
        <v>7</v>
      </c>
      <c r="H821" s="587"/>
      <c r="I821" s="587">
        <v>10</v>
      </c>
      <c r="J821" s="587">
        <f t="shared" si="71"/>
        <v>0</v>
      </c>
      <c r="K821" s="587"/>
      <c r="L821" s="587"/>
      <c r="M821" s="587">
        <f t="shared" si="68"/>
        <v>7</v>
      </c>
      <c r="N821" s="587">
        <f t="shared" si="68"/>
        <v>0</v>
      </c>
      <c r="O821" s="587">
        <f t="shared" si="68"/>
        <v>0</v>
      </c>
      <c r="P821" s="587">
        <f t="shared" si="68"/>
        <v>0</v>
      </c>
    </row>
    <row r="822" spans="2:16">
      <c r="B822" s="587" t="s">
        <v>868</v>
      </c>
      <c r="C822" s="587" t="s">
        <v>869</v>
      </c>
      <c r="D822" s="587" t="s">
        <v>876</v>
      </c>
      <c r="E822" s="587"/>
      <c r="F822" s="587" t="str">
        <f t="shared" si="69"/>
        <v>Trottinette, roller, skateboard,...</v>
      </c>
      <c r="G822" s="587">
        <f t="shared" si="70"/>
        <v>7</v>
      </c>
      <c r="H822" s="587"/>
      <c r="I822" s="587">
        <v>8</v>
      </c>
      <c r="J822" s="587">
        <f t="shared" si="71"/>
        <v>0</v>
      </c>
      <c r="K822" s="587"/>
      <c r="L822" s="587"/>
      <c r="M822" s="587">
        <f t="shared" si="68"/>
        <v>7</v>
      </c>
      <c r="N822" s="587">
        <f t="shared" si="68"/>
        <v>0</v>
      </c>
      <c r="O822" s="587">
        <f t="shared" si="68"/>
        <v>0</v>
      </c>
      <c r="P822" s="587">
        <f t="shared" si="68"/>
        <v>0</v>
      </c>
    </row>
    <row r="823" spans="2:16">
      <c r="B823" s="587" t="s">
        <v>868</v>
      </c>
      <c r="C823" s="587" t="s">
        <v>869</v>
      </c>
      <c r="D823" s="587" t="s">
        <v>871</v>
      </c>
      <c r="E823" s="587"/>
      <c r="F823" s="587" t="str">
        <f t="shared" si="69"/>
        <v>Marche à pied (exclusivement sur tout le trajet)</v>
      </c>
      <c r="G823" s="587">
        <f t="shared" si="70"/>
        <v>7</v>
      </c>
      <c r="H823" s="587"/>
      <c r="I823" s="587">
        <v>15</v>
      </c>
      <c r="J823" s="587">
        <f t="shared" si="71"/>
        <v>0</v>
      </c>
      <c r="K823" s="587"/>
      <c r="L823" s="587"/>
      <c r="M823" s="587">
        <f t="shared" si="68"/>
        <v>7</v>
      </c>
      <c r="N823" s="587">
        <f t="shared" si="68"/>
        <v>0</v>
      </c>
      <c r="O823" s="587">
        <f t="shared" si="68"/>
        <v>0</v>
      </c>
      <c r="P823" s="587">
        <f t="shared" si="68"/>
        <v>0</v>
      </c>
    </row>
    <row r="824" spans="2:16">
      <c r="B824" s="587" t="s">
        <v>868</v>
      </c>
      <c r="C824" s="587" t="s">
        <v>882</v>
      </c>
      <c r="D824" s="587" t="s">
        <v>879</v>
      </c>
      <c r="E824" s="587"/>
      <c r="F824" s="587" t="str">
        <f t="shared" si="69"/>
        <v>Voiture (seul(e))</v>
      </c>
      <c r="G824" s="587">
        <f t="shared" si="70"/>
        <v>3</v>
      </c>
      <c r="H824" s="587"/>
      <c r="I824" s="587">
        <v>1</v>
      </c>
      <c r="J824" s="587">
        <f t="shared" si="71"/>
        <v>2.7600000000000002</v>
      </c>
      <c r="K824" s="587"/>
      <c r="L824" s="587"/>
      <c r="M824" s="587">
        <f t="shared" si="68"/>
        <v>0</v>
      </c>
      <c r="N824" s="587">
        <f t="shared" si="68"/>
        <v>0</v>
      </c>
      <c r="O824" s="587">
        <f t="shared" si="68"/>
        <v>3</v>
      </c>
      <c r="P824" s="587">
        <f t="shared" si="68"/>
        <v>0</v>
      </c>
    </row>
    <row r="825" spans="2:16">
      <c r="B825" s="587" t="s">
        <v>868</v>
      </c>
      <c r="C825" s="587" t="s">
        <v>869</v>
      </c>
      <c r="D825" s="587" t="s">
        <v>871</v>
      </c>
      <c r="E825" s="587"/>
      <c r="F825" s="587" t="str">
        <f t="shared" si="69"/>
        <v>Marche à pied (exclusivement sur tout le trajet)</v>
      </c>
      <c r="G825" s="587">
        <f t="shared" si="70"/>
        <v>7</v>
      </c>
      <c r="H825" s="587"/>
      <c r="I825" s="587">
        <v>5</v>
      </c>
      <c r="J825" s="587">
        <f t="shared" si="71"/>
        <v>0</v>
      </c>
      <c r="K825" s="587"/>
      <c r="L825" s="587"/>
      <c r="M825" s="587">
        <f t="shared" si="68"/>
        <v>7</v>
      </c>
      <c r="N825" s="587">
        <f t="shared" si="68"/>
        <v>0</v>
      </c>
      <c r="O825" s="587">
        <f t="shared" si="68"/>
        <v>0</v>
      </c>
      <c r="P825" s="587">
        <f t="shared" si="68"/>
        <v>0</v>
      </c>
    </row>
    <row r="826" spans="2:16">
      <c r="B826" s="587" t="s">
        <v>868</v>
      </c>
      <c r="C826" s="587" t="s">
        <v>869</v>
      </c>
      <c r="D826" s="587" t="s">
        <v>871</v>
      </c>
      <c r="E826" s="587"/>
      <c r="F826" s="587" t="str">
        <f t="shared" si="69"/>
        <v>Marche à pied (exclusivement sur tout le trajet)</v>
      </c>
      <c r="G826" s="587">
        <f t="shared" si="70"/>
        <v>7</v>
      </c>
      <c r="H826" s="587"/>
      <c r="I826" s="587">
        <v>2</v>
      </c>
      <c r="J826" s="587">
        <f t="shared" si="71"/>
        <v>0</v>
      </c>
      <c r="K826" s="587"/>
      <c r="L826" s="587"/>
      <c r="M826" s="587">
        <f t="shared" si="68"/>
        <v>7</v>
      </c>
      <c r="N826" s="587">
        <f t="shared" si="68"/>
        <v>0</v>
      </c>
      <c r="O826" s="587">
        <f t="shared" si="68"/>
        <v>0</v>
      </c>
      <c r="P826" s="587">
        <f t="shared" si="68"/>
        <v>0</v>
      </c>
    </row>
    <row r="827" spans="2:16">
      <c r="B827" s="587" t="s">
        <v>868</v>
      </c>
      <c r="C827" s="587" t="s">
        <v>882</v>
      </c>
      <c r="D827" s="587"/>
      <c r="E827" s="587" t="s">
        <v>878</v>
      </c>
      <c r="F827" s="587" t="str">
        <f t="shared" si="69"/>
        <v>Marche à pied au-delà de 5 minutes</v>
      </c>
      <c r="G827" s="587">
        <f t="shared" si="70"/>
        <v>7</v>
      </c>
      <c r="H827" s="587"/>
      <c r="I827" s="587">
        <v>40</v>
      </c>
      <c r="J827" s="587">
        <f t="shared" si="71"/>
        <v>0</v>
      </c>
      <c r="K827" s="587"/>
      <c r="L827" s="587"/>
      <c r="M827" s="587">
        <f t="shared" si="68"/>
        <v>0</v>
      </c>
      <c r="N827" s="587">
        <f t="shared" si="68"/>
        <v>0</v>
      </c>
      <c r="O827" s="587">
        <f t="shared" si="68"/>
        <v>7</v>
      </c>
      <c r="P827" s="587">
        <f t="shared" si="68"/>
        <v>0</v>
      </c>
    </row>
    <row r="828" spans="2:16">
      <c r="B828" s="587" t="s">
        <v>868</v>
      </c>
      <c r="C828" s="587" t="s">
        <v>869</v>
      </c>
      <c r="D828" s="587" t="s">
        <v>871</v>
      </c>
      <c r="E828" s="587"/>
      <c r="F828" s="587" t="str">
        <f t="shared" ref="F828:F891" si="72">IF(D828="",E828,D828)</f>
        <v>Marche à pied (exclusivement sur tout le trajet)</v>
      </c>
      <c r="G828" s="587">
        <f t="shared" ref="G828:G891" si="73">IF(F828="Métro",1,IF(F828="Tramway",1,IF(F828="Vélo'v",7,IF(F828="Marche à pied (exclusivement sur tout le trajet)",7,IF(F828="Vélo personnel (y compris vélo à assistance électrique)",7,IF(F828="Trottinette, roller, skateboard,…",7,IF(F828="Marche à pied au-delà de 5 minutes",7,IF(F828="Voiture (seul(e))",3,IF(F828="Bus",2,IF(F828="Trottinette, roller, skateboard au-delà de 5 minutes",7,IF(F828="Covoiturage (passager(ère))",4,IF(F828="Trottinette, roller, skateboard,...",7,IF(F828="Vélo’v",7,IF(F828="Train (TER,TGV,...)",6,IF(F828="Deux roues motorisées (moto, scooter, mobylette,…)",5,IF(F828="Covoiturage (conducteur(trice))",4,IF(F828="Train (TER,..)",6,0)))))))))))))))))</f>
        <v>7</v>
      </c>
      <c r="H828" s="587"/>
      <c r="I828" s="587">
        <v>10</v>
      </c>
      <c r="J828" s="587">
        <f t="shared" ref="J828:J891" si="74">IF(G828=1,$C$6*($I$28*$K$6)/$J$6,IF(G828=2,$C$7*($I$28*$K$7)/$J$7,IF(G828=3,$C$8*$I$28*$K$8/$J$8,IF(G828=4,$C$9*$I$28*$K$9/$J$9,IF(G828=5,$C$10*$I$28*$K$10/$J$10,IF(G828=6,$C$11*$K$11*$I$28/$J$11,0))))))</f>
        <v>0</v>
      </c>
      <c r="K828" s="587"/>
      <c r="L828" s="587"/>
      <c r="M828" s="587">
        <f t="shared" si="68"/>
        <v>7</v>
      </c>
      <c r="N828" s="587">
        <f t="shared" si="68"/>
        <v>0</v>
      </c>
      <c r="O828" s="587">
        <f t="shared" si="68"/>
        <v>0</v>
      </c>
      <c r="P828" s="587">
        <f t="shared" si="68"/>
        <v>0</v>
      </c>
    </row>
    <row r="829" spans="2:16">
      <c r="B829" s="587" t="s">
        <v>868</v>
      </c>
      <c r="C829" s="587" t="s">
        <v>869</v>
      </c>
      <c r="D829" s="587" t="s">
        <v>877</v>
      </c>
      <c r="E829" s="587"/>
      <c r="F829" s="587" t="str">
        <f t="shared" si="72"/>
        <v>Vélo’v</v>
      </c>
      <c r="G829" s="587">
        <f t="shared" si="73"/>
        <v>7</v>
      </c>
      <c r="H829" s="587"/>
      <c r="I829" s="587">
        <v>10</v>
      </c>
      <c r="J829" s="587">
        <f t="shared" si="74"/>
        <v>0</v>
      </c>
      <c r="K829" s="587"/>
      <c r="L829" s="587"/>
      <c r="M829" s="587">
        <f t="shared" si="68"/>
        <v>7</v>
      </c>
      <c r="N829" s="587">
        <f t="shared" si="68"/>
        <v>0</v>
      </c>
      <c r="O829" s="587">
        <f t="shared" si="68"/>
        <v>0</v>
      </c>
      <c r="P829" s="587">
        <f t="shared" si="68"/>
        <v>0</v>
      </c>
    </row>
    <row r="830" spans="2:16">
      <c r="B830" s="587" t="s">
        <v>868</v>
      </c>
      <c r="C830" s="587" t="s">
        <v>875</v>
      </c>
      <c r="D830" s="587" t="s">
        <v>879</v>
      </c>
      <c r="E830" s="587"/>
      <c r="F830" s="587" t="str">
        <f t="shared" si="72"/>
        <v>Voiture (seul(e))</v>
      </c>
      <c r="G830" s="587">
        <f t="shared" si="73"/>
        <v>3</v>
      </c>
      <c r="H830" s="587"/>
      <c r="I830" s="587">
        <v>60</v>
      </c>
      <c r="J830" s="587">
        <f t="shared" si="74"/>
        <v>2.7600000000000002</v>
      </c>
      <c r="K830" s="587"/>
      <c r="L830" s="587"/>
      <c r="M830" s="587">
        <f t="shared" si="68"/>
        <v>0</v>
      </c>
      <c r="N830" s="587">
        <f t="shared" si="68"/>
        <v>3</v>
      </c>
      <c r="O830" s="587">
        <f t="shared" si="68"/>
        <v>0</v>
      </c>
      <c r="P830" s="587">
        <f t="shared" si="68"/>
        <v>0</v>
      </c>
    </row>
    <row r="831" spans="2:16">
      <c r="B831" s="587" t="s">
        <v>868</v>
      </c>
      <c r="C831" s="587" t="s">
        <v>875</v>
      </c>
      <c r="D831" s="587" t="s">
        <v>879</v>
      </c>
      <c r="E831" s="587"/>
      <c r="F831" s="587" t="str">
        <f t="shared" si="72"/>
        <v>Voiture (seul(e))</v>
      </c>
      <c r="G831" s="587">
        <f t="shared" si="73"/>
        <v>3</v>
      </c>
      <c r="H831" s="587"/>
      <c r="I831" s="587">
        <v>40</v>
      </c>
      <c r="J831" s="587">
        <f t="shared" si="74"/>
        <v>2.7600000000000002</v>
      </c>
      <c r="K831" s="587"/>
      <c r="L831" s="587"/>
      <c r="M831" s="587">
        <f t="shared" si="68"/>
        <v>0</v>
      </c>
      <c r="N831" s="587">
        <f t="shared" si="68"/>
        <v>3</v>
      </c>
      <c r="O831" s="587">
        <f t="shared" si="68"/>
        <v>0</v>
      </c>
      <c r="P831" s="587">
        <f t="shared" si="68"/>
        <v>0</v>
      </c>
    </row>
    <row r="832" spans="2:16">
      <c r="B832" s="587" t="s">
        <v>868</v>
      </c>
      <c r="C832" s="587" t="s">
        <v>869</v>
      </c>
      <c r="D832" s="587" t="s">
        <v>871</v>
      </c>
      <c r="E832" s="587"/>
      <c r="F832" s="587" t="str">
        <f t="shared" si="72"/>
        <v>Marche à pied (exclusivement sur tout le trajet)</v>
      </c>
      <c r="G832" s="587">
        <f t="shared" si="73"/>
        <v>7</v>
      </c>
      <c r="H832" s="587"/>
      <c r="I832" s="587">
        <v>3</v>
      </c>
      <c r="J832" s="587">
        <f t="shared" si="74"/>
        <v>0</v>
      </c>
      <c r="K832" s="587"/>
      <c r="L832" s="587"/>
      <c r="M832" s="587">
        <f t="shared" si="68"/>
        <v>7</v>
      </c>
      <c r="N832" s="587">
        <f t="shared" si="68"/>
        <v>0</v>
      </c>
      <c r="O832" s="587">
        <f t="shared" si="68"/>
        <v>0</v>
      </c>
      <c r="P832" s="587">
        <f t="shared" si="68"/>
        <v>0</v>
      </c>
    </row>
    <row r="833" spans="2:16">
      <c r="B833" s="587" t="s">
        <v>868</v>
      </c>
      <c r="C833" s="587" t="s">
        <v>869</v>
      </c>
      <c r="D833" s="587" t="s">
        <v>871</v>
      </c>
      <c r="E833" s="587"/>
      <c r="F833" s="587" t="str">
        <f t="shared" si="72"/>
        <v>Marche à pied (exclusivement sur tout le trajet)</v>
      </c>
      <c r="G833" s="587">
        <f t="shared" si="73"/>
        <v>7</v>
      </c>
      <c r="H833" s="587"/>
      <c r="I833" s="587">
        <v>2</v>
      </c>
      <c r="J833" s="587">
        <f t="shared" si="74"/>
        <v>0</v>
      </c>
      <c r="K833" s="587"/>
      <c r="L833" s="587"/>
      <c r="M833" s="587">
        <f t="shared" si="68"/>
        <v>7</v>
      </c>
      <c r="N833" s="587">
        <f t="shared" si="68"/>
        <v>0</v>
      </c>
      <c r="O833" s="587">
        <f t="shared" si="68"/>
        <v>0</v>
      </c>
      <c r="P833" s="587">
        <f t="shared" si="68"/>
        <v>0</v>
      </c>
    </row>
    <row r="834" spans="2:16">
      <c r="B834" s="587" t="s">
        <v>868</v>
      </c>
      <c r="C834" s="587" t="s">
        <v>869</v>
      </c>
      <c r="D834" s="587" t="s">
        <v>871</v>
      </c>
      <c r="E834" s="587"/>
      <c r="F834" s="587" t="str">
        <f t="shared" si="72"/>
        <v>Marche à pied (exclusivement sur tout le trajet)</v>
      </c>
      <c r="G834" s="587">
        <f t="shared" si="73"/>
        <v>7</v>
      </c>
      <c r="H834" s="587"/>
      <c r="I834" s="587">
        <v>3</v>
      </c>
      <c r="J834" s="587">
        <f t="shared" si="74"/>
        <v>0</v>
      </c>
      <c r="K834" s="587"/>
      <c r="L834" s="587"/>
      <c r="M834" s="587">
        <f t="shared" si="68"/>
        <v>7</v>
      </c>
      <c r="N834" s="587">
        <f t="shared" si="68"/>
        <v>0</v>
      </c>
      <c r="O834" s="587">
        <f t="shared" si="68"/>
        <v>0</v>
      </c>
      <c r="P834" s="587">
        <f t="shared" si="68"/>
        <v>0</v>
      </c>
    </row>
    <row r="835" spans="2:16">
      <c r="B835" s="587" t="s">
        <v>868</v>
      </c>
      <c r="C835" s="587" t="s">
        <v>869</v>
      </c>
      <c r="D835" s="587"/>
      <c r="E835" s="587" t="s">
        <v>886</v>
      </c>
      <c r="F835" s="587" t="str">
        <f t="shared" si="72"/>
        <v>Train (TER,..)</v>
      </c>
      <c r="G835" s="587">
        <f t="shared" si="73"/>
        <v>6</v>
      </c>
      <c r="H835" s="587"/>
      <c r="I835" s="587">
        <v>250</v>
      </c>
      <c r="J835" s="587">
        <f t="shared" si="74"/>
        <v>0.34600000000000003</v>
      </c>
      <c r="K835" s="587"/>
      <c r="L835" s="587"/>
      <c r="M835" s="587">
        <f t="shared" si="68"/>
        <v>6</v>
      </c>
      <c r="N835" s="587">
        <f t="shared" si="68"/>
        <v>0</v>
      </c>
      <c r="O835" s="587">
        <f t="shared" si="68"/>
        <v>0</v>
      </c>
      <c r="P835" s="587">
        <f t="shared" si="68"/>
        <v>0</v>
      </c>
    </row>
    <row r="836" spans="2:16">
      <c r="B836" s="587" t="s">
        <v>868</v>
      </c>
      <c r="C836" s="587" t="s">
        <v>869</v>
      </c>
      <c r="D836" s="587" t="s">
        <v>871</v>
      </c>
      <c r="E836" s="587"/>
      <c r="F836" s="587" t="str">
        <f t="shared" si="72"/>
        <v>Marche à pied (exclusivement sur tout le trajet)</v>
      </c>
      <c r="G836" s="587">
        <f t="shared" si="73"/>
        <v>7</v>
      </c>
      <c r="H836" s="587"/>
      <c r="I836" s="587">
        <v>7</v>
      </c>
      <c r="J836" s="587">
        <f t="shared" si="74"/>
        <v>0</v>
      </c>
      <c r="K836" s="587"/>
      <c r="L836" s="587"/>
      <c r="M836" s="587">
        <f t="shared" si="68"/>
        <v>7</v>
      </c>
      <c r="N836" s="587">
        <f t="shared" si="68"/>
        <v>0</v>
      </c>
      <c r="O836" s="587">
        <f t="shared" si="68"/>
        <v>0</v>
      </c>
      <c r="P836" s="587">
        <f t="shared" si="68"/>
        <v>0</v>
      </c>
    </row>
    <row r="837" spans="2:16">
      <c r="B837" s="587" t="s">
        <v>868</v>
      </c>
      <c r="C837" s="587" t="s">
        <v>875</v>
      </c>
      <c r="D837" s="587"/>
      <c r="E837" s="587" t="s">
        <v>870</v>
      </c>
      <c r="F837" s="587" t="str">
        <f t="shared" si="72"/>
        <v>Métro</v>
      </c>
      <c r="G837" s="587">
        <f t="shared" si="73"/>
        <v>1</v>
      </c>
      <c r="H837" s="587"/>
      <c r="I837" s="587">
        <v>42</v>
      </c>
      <c r="J837" s="587">
        <f t="shared" si="74"/>
        <v>4.8833333333333326E-2</v>
      </c>
      <c r="K837" s="587"/>
      <c r="L837" s="587"/>
      <c r="M837" s="587">
        <f t="shared" si="68"/>
        <v>0</v>
      </c>
      <c r="N837" s="587">
        <f t="shared" si="68"/>
        <v>1</v>
      </c>
      <c r="O837" s="587">
        <f t="shared" si="68"/>
        <v>0</v>
      </c>
      <c r="P837" s="587">
        <f t="shared" si="68"/>
        <v>0</v>
      </c>
    </row>
    <row r="838" spans="2:16">
      <c r="B838" s="587" t="s">
        <v>868</v>
      </c>
      <c r="C838" s="587" t="s">
        <v>875</v>
      </c>
      <c r="D838" s="587" t="s">
        <v>872</v>
      </c>
      <c r="E838" s="587"/>
      <c r="F838" s="587" t="str">
        <f t="shared" si="72"/>
        <v>Vélo personnel (y compris vélo à assistance électrique)</v>
      </c>
      <c r="G838" s="587">
        <f t="shared" si="73"/>
        <v>7</v>
      </c>
      <c r="H838" s="587"/>
      <c r="I838" s="587">
        <v>45</v>
      </c>
      <c r="J838" s="587">
        <f t="shared" si="74"/>
        <v>0</v>
      </c>
      <c r="K838" s="587"/>
      <c r="L838" s="587"/>
      <c r="M838" s="587">
        <f t="shared" si="68"/>
        <v>0</v>
      </c>
      <c r="N838" s="587">
        <f t="shared" si="68"/>
        <v>7</v>
      </c>
      <c r="O838" s="587">
        <f t="shared" si="68"/>
        <v>0</v>
      </c>
      <c r="P838" s="587">
        <f t="shared" si="68"/>
        <v>0</v>
      </c>
    </row>
    <row r="839" spans="2:16">
      <c r="B839" s="587" t="s">
        <v>868</v>
      </c>
      <c r="C839" s="587" t="s">
        <v>882</v>
      </c>
      <c r="D839" s="587"/>
      <c r="E839" s="587" t="s">
        <v>870</v>
      </c>
      <c r="F839" s="587" t="str">
        <f t="shared" si="72"/>
        <v>Métro</v>
      </c>
      <c r="G839" s="587">
        <f t="shared" si="73"/>
        <v>1</v>
      </c>
      <c r="H839" s="587"/>
      <c r="I839" s="587">
        <v>25</v>
      </c>
      <c r="J839" s="587">
        <f t="shared" si="74"/>
        <v>4.8833333333333326E-2</v>
      </c>
      <c r="K839" s="587"/>
      <c r="L839" s="587"/>
      <c r="M839" s="587">
        <f t="shared" si="68"/>
        <v>0</v>
      </c>
      <c r="N839" s="587">
        <f t="shared" si="68"/>
        <v>0</v>
      </c>
      <c r="O839" s="587">
        <f t="shared" si="68"/>
        <v>1</v>
      </c>
      <c r="P839" s="587">
        <f t="shared" si="68"/>
        <v>0</v>
      </c>
    </row>
    <row r="840" spans="2:16">
      <c r="B840" s="587" t="s">
        <v>868</v>
      </c>
      <c r="C840" s="587" t="s">
        <v>869</v>
      </c>
      <c r="D840" s="587" t="s">
        <v>871</v>
      </c>
      <c r="E840" s="587"/>
      <c r="F840" s="587" t="str">
        <f t="shared" si="72"/>
        <v>Marche à pied (exclusivement sur tout le trajet)</v>
      </c>
      <c r="G840" s="587">
        <f t="shared" si="73"/>
        <v>7</v>
      </c>
      <c r="H840" s="587"/>
      <c r="I840" s="587">
        <v>4</v>
      </c>
      <c r="J840" s="587">
        <f t="shared" si="74"/>
        <v>0</v>
      </c>
      <c r="K840" s="587"/>
      <c r="L840" s="587"/>
      <c r="M840" s="587">
        <f t="shared" si="68"/>
        <v>7</v>
      </c>
      <c r="N840" s="587">
        <f t="shared" si="68"/>
        <v>0</v>
      </c>
      <c r="O840" s="587">
        <f t="shared" si="68"/>
        <v>0</v>
      </c>
      <c r="P840" s="587">
        <f t="shared" si="68"/>
        <v>0</v>
      </c>
    </row>
    <row r="841" spans="2:16">
      <c r="B841" s="587" t="s">
        <v>868</v>
      </c>
      <c r="C841" s="587" t="s">
        <v>869</v>
      </c>
      <c r="D841" s="587" t="s">
        <v>871</v>
      </c>
      <c r="E841" s="587"/>
      <c r="F841" s="587" t="str">
        <f t="shared" si="72"/>
        <v>Marche à pied (exclusivement sur tout le trajet)</v>
      </c>
      <c r="G841" s="587">
        <f t="shared" si="73"/>
        <v>7</v>
      </c>
      <c r="H841" s="587"/>
      <c r="I841" s="587">
        <v>10</v>
      </c>
      <c r="J841" s="587">
        <f t="shared" si="74"/>
        <v>0</v>
      </c>
      <c r="K841" s="587"/>
      <c r="L841" s="587"/>
      <c r="M841" s="587">
        <f t="shared" si="68"/>
        <v>7</v>
      </c>
      <c r="N841" s="587">
        <f t="shared" si="68"/>
        <v>0</v>
      </c>
      <c r="O841" s="587">
        <f t="shared" si="68"/>
        <v>0</v>
      </c>
      <c r="P841" s="587">
        <f t="shared" si="68"/>
        <v>0</v>
      </c>
    </row>
    <row r="842" spans="2:16">
      <c r="B842" s="587" t="s">
        <v>868</v>
      </c>
      <c r="C842" s="587" t="s">
        <v>869</v>
      </c>
      <c r="D842" s="587" t="s">
        <v>871</v>
      </c>
      <c r="E842" s="587"/>
      <c r="F842" s="587" t="str">
        <f t="shared" si="72"/>
        <v>Marche à pied (exclusivement sur tout le trajet)</v>
      </c>
      <c r="G842" s="587">
        <f t="shared" si="73"/>
        <v>7</v>
      </c>
      <c r="H842" s="587"/>
      <c r="I842" s="587">
        <v>3</v>
      </c>
      <c r="J842" s="587">
        <f t="shared" si="74"/>
        <v>0</v>
      </c>
      <c r="K842" s="587"/>
      <c r="L842" s="587"/>
      <c r="M842" s="587">
        <f t="shared" si="68"/>
        <v>7</v>
      </c>
      <c r="N842" s="587">
        <f t="shared" si="68"/>
        <v>0</v>
      </c>
      <c r="O842" s="587">
        <f t="shared" si="68"/>
        <v>0</v>
      </c>
      <c r="P842" s="587">
        <f t="shared" si="68"/>
        <v>0</v>
      </c>
    </row>
    <row r="843" spans="2:16">
      <c r="B843" s="587" t="s">
        <v>868</v>
      </c>
      <c r="C843" s="587" t="s">
        <v>869</v>
      </c>
      <c r="D843" s="587" t="s">
        <v>885</v>
      </c>
      <c r="E843" s="587"/>
      <c r="F843" s="587" t="str">
        <f t="shared" si="72"/>
        <v>Covoiturage (conducteur(trice))</v>
      </c>
      <c r="G843" s="587">
        <f t="shared" si="73"/>
        <v>4</v>
      </c>
      <c r="H843" s="587"/>
      <c r="I843" s="587">
        <v>7</v>
      </c>
      <c r="J843" s="587">
        <f t="shared" si="74"/>
        <v>0.69000000000000006</v>
      </c>
      <c r="K843" s="587"/>
      <c r="L843" s="587"/>
      <c r="M843" s="587">
        <f t="shared" si="68"/>
        <v>4</v>
      </c>
      <c r="N843" s="587">
        <f t="shared" si="68"/>
        <v>0</v>
      </c>
      <c r="O843" s="587">
        <f t="shared" si="68"/>
        <v>0</v>
      </c>
      <c r="P843" s="587">
        <f t="shared" si="68"/>
        <v>0</v>
      </c>
    </row>
    <row r="844" spans="2:16">
      <c r="B844" s="587" t="s">
        <v>868</v>
      </c>
      <c r="C844" s="587" t="s">
        <v>875</v>
      </c>
      <c r="D844" s="587" t="s">
        <v>872</v>
      </c>
      <c r="E844" s="587"/>
      <c r="F844" s="587" t="str">
        <f t="shared" si="72"/>
        <v>Vélo personnel (y compris vélo à assistance électrique)</v>
      </c>
      <c r="G844" s="587">
        <f t="shared" si="73"/>
        <v>7</v>
      </c>
      <c r="H844" s="587"/>
      <c r="I844" s="587">
        <v>30</v>
      </c>
      <c r="J844" s="587">
        <f t="shared" si="74"/>
        <v>0</v>
      </c>
      <c r="K844" s="587"/>
      <c r="L844" s="587"/>
      <c r="M844" s="587">
        <f t="shared" si="68"/>
        <v>0</v>
      </c>
      <c r="N844" s="587">
        <f t="shared" si="68"/>
        <v>7</v>
      </c>
      <c r="O844" s="587">
        <f t="shared" si="68"/>
        <v>0</v>
      </c>
      <c r="P844" s="587">
        <f t="shared" si="68"/>
        <v>0</v>
      </c>
    </row>
    <row r="845" spans="2:16">
      <c r="B845" s="587" t="s">
        <v>868</v>
      </c>
      <c r="C845" s="587" t="s">
        <v>875</v>
      </c>
      <c r="D845" s="587" t="s">
        <v>870</v>
      </c>
      <c r="E845" s="587"/>
      <c r="F845" s="587" t="str">
        <f t="shared" si="72"/>
        <v>Métro</v>
      </c>
      <c r="G845" s="587">
        <f t="shared" si="73"/>
        <v>1</v>
      </c>
      <c r="H845" s="587"/>
      <c r="I845" s="587">
        <v>35</v>
      </c>
      <c r="J845" s="587">
        <f t="shared" si="74"/>
        <v>4.8833333333333326E-2</v>
      </c>
      <c r="K845" s="587"/>
      <c r="L845" s="587"/>
      <c r="M845" s="587">
        <f t="shared" si="68"/>
        <v>0</v>
      </c>
      <c r="N845" s="587">
        <f t="shared" si="68"/>
        <v>1</v>
      </c>
      <c r="O845" s="587">
        <f t="shared" si="68"/>
        <v>0</v>
      </c>
      <c r="P845" s="587">
        <f t="shared" si="68"/>
        <v>0</v>
      </c>
    </row>
    <row r="846" spans="2:16">
      <c r="B846" s="587" t="s">
        <v>868</v>
      </c>
      <c r="C846" s="587" t="s">
        <v>875</v>
      </c>
      <c r="D846" s="587" t="s">
        <v>884</v>
      </c>
      <c r="E846" s="587"/>
      <c r="F846" s="587" t="str">
        <f t="shared" si="72"/>
        <v>Deux roues motorisées (moto, scooter, mobylette,…)</v>
      </c>
      <c r="G846" s="587">
        <f t="shared" si="73"/>
        <v>5</v>
      </c>
      <c r="H846" s="587"/>
      <c r="I846" s="587">
        <v>15</v>
      </c>
      <c r="J846" s="587">
        <f t="shared" si="74"/>
        <v>1.288</v>
      </c>
      <c r="K846" s="587"/>
      <c r="L846" s="587"/>
      <c r="M846" s="587">
        <f t="shared" si="68"/>
        <v>0</v>
      </c>
      <c r="N846" s="587">
        <f t="shared" si="68"/>
        <v>5</v>
      </c>
      <c r="O846" s="587">
        <f t="shared" si="68"/>
        <v>0</v>
      </c>
      <c r="P846" s="587">
        <f t="shared" si="68"/>
        <v>0</v>
      </c>
    </row>
    <row r="847" spans="2:16">
      <c r="B847" s="587" t="s">
        <v>868</v>
      </c>
      <c r="C847" s="587" t="s">
        <v>875</v>
      </c>
      <c r="D847" s="587"/>
      <c r="E847" s="587" t="s">
        <v>870</v>
      </c>
      <c r="F847" s="587" t="str">
        <f t="shared" si="72"/>
        <v>Métro</v>
      </c>
      <c r="G847" s="587">
        <f t="shared" si="73"/>
        <v>1</v>
      </c>
      <c r="H847" s="587"/>
      <c r="I847" s="587">
        <v>35</v>
      </c>
      <c r="J847" s="587">
        <f t="shared" si="74"/>
        <v>4.8833333333333326E-2</v>
      </c>
      <c r="K847" s="587"/>
      <c r="L847" s="587"/>
      <c r="M847" s="587">
        <f t="shared" si="68"/>
        <v>0</v>
      </c>
      <c r="N847" s="587">
        <f t="shared" si="68"/>
        <v>1</v>
      </c>
      <c r="O847" s="587">
        <f t="shared" si="68"/>
        <v>0</v>
      </c>
      <c r="P847" s="587">
        <f t="shared" si="68"/>
        <v>0</v>
      </c>
    </row>
    <row r="848" spans="2:16">
      <c r="B848" s="587" t="s">
        <v>868</v>
      </c>
      <c r="C848" s="587" t="s">
        <v>882</v>
      </c>
      <c r="D848" s="587" t="s">
        <v>879</v>
      </c>
      <c r="E848" s="587"/>
      <c r="F848" s="587" t="str">
        <f t="shared" si="72"/>
        <v>Voiture (seul(e))</v>
      </c>
      <c r="G848" s="587">
        <f t="shared" si="73"/>
        <v>3</v>
      </c>
      <c r="H848" s="587"/>
      <c r="I848" s="587">
        <v>30</v>
      </c>
      <c r="J848" s="587">
        <f t="shared" si="74"/>
        <v>2.7600000000000002</v>
      </c>
      <c r="K848" s="587"/>
      <c r="L848" s="587"/>
      <c r="M848" s="587">
        <f t="shared" si="68"/>
        <v>0</v>
      </c>
      <c r="N848" s="587">
        <f t="shared" si="68"/>
        <v>0</v>
      </c>
      <c r="O848" s="587">
        <f t="shared" si="68"/>
        <v>3</v>
      </c>
      <c r="P848" s="587">
        <f t="shared" si="68"/>
        <v>0</v>
      </c>
    </row>
    <row r="849" spans="2:16">
      <c r="B849" s="587" t="s">
        <v>868</v>
      </c>
      <c r="C849" s="587" t="s">
        <v>869</v>
      </c>
      <c r="D849" s="587" t="s">
        <v>872</v>
      </c>
      <c r="E849" s="587"/>
      <c r="F849" s="587" t="str">
        <f t="shared" si="72"/>
        <v>Vélo personnel (y compris vélo à assistance électrique)</v>
      </c>
      <c r="G849" s="587">
        <f t="shared" si="73"/>
        <v>7</v>
      </c>
      <c r="H849" s="587"/>
      <c r="I849" s="587">
        <v>15</v>
      </c>
      <c r="J849" s="587">
        <f t="shared" si="74"/>
        <v>0</v>
      </c>
      <c r="K849" s="587"/>
      <c r="L849" s="587"/>
      <c r="M849" s="587">
        <f t="shared" si="68"/>
        <v>7</v>
      </c>
      <c r="N849" s="587">
        <f t="shared" si="68"/>
        <v>0</v>
      </c>
      <c r="O849" s="587">
        <f t="shared" si="68"/>
        <v>0</v>
      </c>
      <c r="P849" s="587">
        <f t="shared" si="68"/>
        <v>0</v>
      </c>
    </row>
    <row r="850" spans="2:16">
      <c r="B850" s="587" t="s">
        <v>868</v>
      </c>
      <c r="C850" s="587" t="s">
        <v>882</v>
      </c>
      <c r="D850" s="587" t="s">
        <v>873</v>
      </c>
      <c r="E850" s="587"/>
      <c r="F850" s="587" t="str">
        <f t="shared" si="72"/>
        <v>Tramway</v>
      </c>
      <c r="G850" s="587">
        <f t="shared" si="73"/>
        <v>1</v>
      </c>
      <c r="H850" s="587"/>
      <c r="I850" s="587">
        <v>15</v>
      </c>
      <c r="J850" s="587">
        <f t="shared" si="74"/>
        <v>4.8833333333333326E-2</v>
      </c>
      <c r="K850" s="587"/>
      <c r="L850" s="587"/>
      <c r="M850" s="587">
        <f t="shared" si="68"/>
        <v>0</v>
      </c>
      <c r="N850" s="587">
        <f t="shared" si="68"/>
        <v>0</v>
      </c>
      <c r="O850" s="587">
        <f t="shared" si="68"/>
        <v>1</v>
      </c>
      <c r="P850" s="587">
        <f t="shared" si="68"/>
        <v>0</v>
      </c>
    </row>
    <row r="851" spans="2:16">
      <c r="B851" s="587" t="s">
        <v>868</v>
      </c>
      <c r="C851" s="587" t="s">
        <v>869</v>
      </c>
      <c r="D851" s="587" t="s">
        <v>871</v>
      </c>
      <c r="E851" s="587"/>
      <c r="F851" s="587" t="str">
        <f t="shared" si="72"/>
        <v>Marche à pied (exclusivement sur tout le trajet)</v>
      </c>
      <c r="G851" s="587">
        <f t="shared" si="73"/>
        <v>7</v>
      </c>
      <c r="H851" s="587"/>
      <c r="I851" s="587">
        <v>15</v>
      </c>
      <c r="J851" s="587">
        <f t="shared" si="74"/>
        <v>0</v>
      </c>
      <c r="K851" s="587"/>
      <c r="L851" s="587"/>
      <c r="M851" s="587">
        <f t="shared" si="68"/>
        <v>7</v>
      </c>
      <c r="N851" s="587">
        <f t="shared" si="68"/>
        <v>0</v>
      </c>
      <c r="O851" s="587">
        <f t="shared" si="68"/>
        <v>0</v>
      </c>
      <c r="P851" s="587">
        <f t="shared" si="68"/>
        <v>0</v>
      </c>
    </row>
    <row r="852" spans="2:16">
      <c r="B852" s="587" t="s">
        <v>868</v>
      </c>
      <c r="C852" s="587" t="s">
        <v>869</v>
      </c>
      <c r="D852" s="587" t="s">
        <v>871</v>
      </c>
      <c r="E852" s="587"/>
      <c r="F852" s="587" t="str">
        <f t="shared" si="72"/>
        <v>Marche à pied (exclusivement sur tout le trajet)</v>
      </c>
      <c r="G852" s="587">
        <f t="shared" si="73"/>
        <v>7</v>
      </c>
      <c r="H852" s="587"/>
      <c r="I852" s="587">
        <v>20</v>
      </c>
      <c r="J852" s="587">
        <f t="shared" si="74"/>
        <v>0</v>
      </c>
      <c r="K852" s="587"/>
      <c r="L852" s="587"/>
      <c r="M852" s="587">
        <f t="shared" si="68"/>
        <v>7</v>
      </c>
      <c r="N852" s="587">
        <f t="shared" si="68"/>
        <v>0</v>
      </c>
      <c r="O852" s="587">
        <f t="shared" si="68"/>
        <v>0</v>
      </c>
      <c r="P852" s="587">
        <f t="shared" si="68"/>
        <v>0</v>
      </c>
    </row>
    <row r="853" spans="2:16">
      <c r="B853" s="587" t="s">
        <v>868</v>
      </c>
      <c r="C853" s="587" t="s">
        <v>869</v>
      </c>
      <c r="D853" s="587"/>
      <c r="E853" s="587" t="s">
        <v>870</v>
      </c>
      <c r="F853" s="587" t="str">
        <f t="shared" si="72"/>
        <v>Métro</v>
      </c>
      <c r="G853" s="587">
        <f t="shared" si="73"/>
        <v>1</v>
      </c>
      <c r="H853" s="587"/>
      <c r="I853" s="587">
        <v>40</v>
      </c>
      <c r="J853" s="587">
        <f t="shared" si="74"/>
        <v>4.8833333333333326E-2</v>
      </c>
      <c r="K853" s="587"/>
      <c r="L853" s="587"/>
      <c r="M853" s="587">
        <f t="shared" si="68"/>
        <v>1</v>
      </c>
      <c r="N853" s="587">
        <f t="shared" si="68"/>
        <v>0</v>
      </c>
      <c r="O853" s="587">
        <f t="shared" si="68"/>
        <v>0</v>
      </c>
      <c r="P853" s="587">
        <f t="shared" si="68"/>
        <v>0</v>
      </c>
    </row>
    <row r="854" spans="2:16">
      <c r="B854" s="587" t="s">
        <v>868</v>
      </c>
      <c r="C854" s="587" t="s">
        <v>869</v>
      </c>
      <c r="D854" s="587" t="s">
        <v>871</v>
      </c>
      <c r="E854" s="587"/>
      <c r="F854" s="587" t="str">
        <f t="shared" si="72"/>
        <v>Marche à pied (exclusivement sur tout le trajet)</v>
      </c>
      <c r="G854" s="587">
        <f t="shared" si="73"/>
        <v>7</v>
      </c>
      <c r="H854" s="587"/>
      <c r="I854" s="587"/>
      <c r="J854" s="587">
        <f t="shared" si="74"/>
        <v>0</v>
      </c>
      <c r="K854" s="587"/>
      <c r="L854" s="587"/>
      <c r="M854" s="587">
        <f t="shared" si="68"/>
        <v>7</v>
      </c>
      <c r="N854" s="587">
        <f t="shared" si="68"/>
        <v>0</v>
      </c>
      <c r="O854" s="587">
        <f t="shared" si="68"/>
        <v>0</v>
      </c>
      <c r="P854" s="587">
        <f t="shared" si="68"/>
        <v>0</v>
      </c>
    </row>
    <row r="855" spans="2:16">
      <c r="B855" s="587" t="s">
        <v>868</v>
      </c>
      <c r="C855" s="587" t="s">
        <v>869</v>
      </c>
      <c r="D855" s="587" t="s">
        <v>872</v>
      </c>
      <c r="E855" s="587"/>
      <c r="F855" s="587" t="str">
        <f t="shared" si="72"/>
        <v>Vélo personnel (y compris vélo à assistance électrique)</v>
      </c>
      <c r="G855" s="587">
        <f t="shared" si="73"/>
        <v>7</v>
      </c>
      <c r="H855" s="587"/>
      <c r="I855" s="587">
        <v>10</v>
      </c>
      <c r="J855" s="587">
        <f t="shared" si="74"/>
        <v>0</v>
      </c>
      <c r="K855" s="587"/>
      <c r="L855" s="587"/>
      <c r="M855" s="587">
        <f t="shared" si="68"/>
        <v>7</v>
      </c>
      <c r="N855" s="587">
        <f t="shared" si="68"/>
        <v>0</v>
      </c>
      <c r="O855" s="587">
        <f t="shared" si="68"/>
        <v>0</v>
      </c>
      <c r="P855" s="587">
        <f t="shared" si="68"/>
        <v>0</v>
      </c>
    </row>
    <row r="856" spans="2:16">
      <c r="B856" s="587" t="s">
        <v>868</v>
      </c>
      <c r="C856" s="587" t="s">
        <v>869</v>
      </c>
      <c r="D856" s="587" t="s">
        <v>871</v>
      </c>
      <c r="E856" s="587"/>
      <c r="F856" s="587" t="str">
        <f t="shared" si="72"/>
        <v>Marche à pied (exclusivement sur tout le trajet)</v>
      </c>
      <c r="G856" s="587">
        <f t="shared" si="73"/>
        <v>7</v>
      </c>
      <c r="H856" s="587"/>
      <c r="I856" s="587">
        <v>5</v>
      </c>
      <c r="J856" s="587">
        <f t="shared" si="74"/>
        <v>0</v>
      </c>
      <c r="K856" s="587"/>
      <c r="L856" s="587"/>
      <c r="M856" s="587">
        <f t="shared" si="68"/>
        <v>7</v>
      </c>
      <c r="N856" s="587">
        <f t="shared" si="68"/>
        <v>0</v>
      </c>
      <c r="O856" s="587">
        <f t="shared" si="68"/>
        <v>0</v>
      </c>
      <c r="P856" s="587">
        <f t="shared" si="68"/>
        <v>0</v>
      </c>
    </row>
    <row r="857" spans="2:16">
      <c r="B857" s="587" t="s">
        <v>868</v>
      </c>
      <c r="C857" s="587" t="s">
        <v>875</v>
      </c>
      <c r="D857" s="587"/>
      <c r="E857" s="587" t="s">
        <v>883</v>
      </c>
      <c r="F857" s="587" t="str">
        <f t="shared" si="72"/>
        <v>Covoiturage (passager(ère))</v>
      </c>
      <c r="G857" s="587">
        <f t="shared" si="73"/>
        <v>4</v>
      </c>
      <c r="H857" s="587"/>
      <c r="I857" s="587">
        <v>10</v>
      </c>
      <c r="J857" s="587">
        <f t="shared" si="74"/>
        <v>0.69000000000000006</v>
      </c>
      <c r="K857" s="587"/>
      <c r="L857" s="587"/>
      <c r="M857" s="587">
        <f t="shared" si="68"/>
        <v>0</v>
      </c>
      <c r="N857" s="587">
        <f t="shared" si="68"/>
        <v>4</v>
      </c>
      <c r="O857" s="587">
        <f t="shared" si="68"/>
        <v>0</v>
      </c>
      <c r="P857" s="587">
        <f t="shared" ref="P857:P920" si="75">IF($C857=P$27,$G857,0)</f>
        <v>0</v>
      </c>
    </row>
    <row r="858" spans="2:16">
      <c r="B858" s="587" t="s">
        <v>868</v>
      </c>
      <c r="C858" s="587" t="s">
        <v>875</v>
      </c>
      <c r="D858" s="587" t="s">
        <v>884</v>
      </c>
      <c r="E858" s="587"/>
      <c r="F858" s="587" t="str">
        <f t="shared" si="72"/>
        <v>Deux roues motorisées (moto, scooter, mobylette,…)</v>
      </c>
      <c r="G858" s="587">
        <f t="shared" si="73"/>
        <v>5</v>
      </c>
      <c r="H858" s="587"/>
      <c r="I858" s="587">
        <v>30</v>
      </c>
      <c r="J858" s="587">
        <f t="shared" si="74"/>
        <v>1.288</v>
      </c>
      <c r="K858" s="587"/>
      <c r="L858" s="587"/>
      <c r="M858" s="587">
        <f t="shared" ref="M858:P921" si="76">IF($C858=M$27,$G858,0)</f>
        <v>0</v>
      </c>
      <c r="N858" s="587">
        <f t="shared" si="76"/>
        <v>5</v>
      </c>
      <c r="O858" s="587">
        <f t="shared" si="76"/>
        <v>0</v>
      </c>
      <c r="P858" s="587">
        <f t="shared" si="75"/>
        <v>0</v>
      </c>
    </row>
    <row r="859" spans="2:16">
      <c r="B859" s="587" t="s">
        <v>868</v>
      </c>
      <c r="C859" s="587" t="s">
        <v>882</v>
      </c>
      <c r="D859" s="587" t="s">
        <v>879</v>
      </c>
      <c r="E859" s="587"/>
      <c r="F859" s="587" t="str">
        <f t="shared" si="72"/>
        <v>Voiture (seul(e))</v>
      </c>
      <c r="G859" s="587">
        <f t="shared" si="73"/>
        <v>3</v>
      </c>
      <c r="H859" s="587"/>
      <c r="I859" s="587">
        <v>45</v>
      </c>
      <c r="J859" s="587">
        <f t="shared" si="74"/>
        <v>2.7600000000000002</v>
      </c>
      <c r="K859" s="587"/>
      <c r="L859" s="587"/>
      <c r="M859" s="587">
        <f t="shared" si="76"/>
        <v>0</v>
      </c>
      <c r="N859" s="587">
        <f t="shared" si="76"/>
        <v>0</v>
      </c>
      <c r="O859" s="587">
        <f t="shared" si="76"/>
        <v>3</v>
      </c>
      <c r="P859" s="587">
        <f t="shared" si="75"/>
        <v>0</v>
      </c>
    </row>
    <row r="860" spans="2:16">
      <c r="B860" s="587" t="s">
        <v>868</v>
      </c>
      <c r="C860" s="587" t="s">
        <v>882</v>
      </c>
      <c r="D860" s="587"/>
      <c r="E860" s="587" t="s">
        <v>886</v>
      </c>
      <c r="F860" s="587" t="str">
        <f t="shared" si="72"/>
        <v>Train (TER,..)</v>
      </c>
      <c r="G860" s="587">
        <f t="shared" si="73"/>
        <v>6</v>
      </c>
      <c r="H860" s="587"/>
      <c r="I860" s="587">
        <v>60</v>
      </c>
      <c r="J860" s="587">
        <f t="shared" si="74"/>
        <v>0.34600000000000003</v>
      </c>
      <c r="K860" s="587"/>
      <c r="L860" s="587"/>
      <c r="M860" s="587">
        <f t="shared" si="76"/>
        <v>0</v>
      </c>
      <c r="N860" s="587">
        <f t="shared" si="76"/>
        <v>0</v>
      </c>
      <c r="O860" s="587">
        <f t="shared" si="76"/>
        <v>6</v>
      </c>
      <c r="P860" s="587">
        <f t="shared" si="75"/>
        <v>0</v>
      </c>
    </row>
    <row r="861" spans="2:16">
      <c r="B861" s="587" t="s">
        <v>868</v>
      </c>
      <c r="C861" s="587" t="s">
        <v>869</v>
      </c>
      <c r="D861" s="587" t="s">
        <v>871</v>
      </c>
      <c r="E861" s="587"/>
      <c r="F861" s="587" t="str">
        <f t="shared" si="72"/>
        <v>Marche à pied (exclusivement sur tout le trajet)</v>
      </c>
      <c r="G861" s="587">
        <f t="shared" si="73"/>
        <v>7</v>
      </c>
      <c r="H861" s="587"/>
      <c r="I861" s="587">
        <v>5</v>
      </c>
      <c r="J861" s="587">
        <f t="shared" si="74"/>
        <v>0</v>
      </c>
      <c r="K861" s="587"/>
      <c r="L861" s="587"/>
      <c r="M861" s="587">
        <f t="shared" si="76"/>
        <v>7</v>
      </c>
      <c r="N861" s="587">
        <f t="shared" si="76"/>
        <v>0</v>
      </c>
      <c r="O861" s="587">
        <f t="shared" si="76"/>
        <v>0</v>
      </c>
      <c r="P861" s="587">
        <f t="shared" si="75"/>
        <v>0</v>
      </c>
    </row>
    <row r="862" spans="2:16">
      <c r="B862" s="587" t="s">
        <v>868</v>
      </c>
      <c r="C862" s="587" t="s">
        <v>869</v>
      </c>
      <c r="D862" s="587" t="s">
        <v>871</v>
      </c>
      <c r="E862" s="587"/>
      <c r="F862" s="587" t="str">
        <f t="shared" si="72"/>
        <v>Marche à pied (exclusivement sur tout le trajet)</v>
      </c>
      <c r="G862" s="587">
        <f t="shared" si="73"/>
        <v>7</v>
      </c>
      <c r="H862" s="587"/>
      <c r="I862" s="587">
        <v>1</v>
      </c>
      <c r="J862" s="587">
        <f t="shared" si="74"/>
        <v>0</v>
      </c>
      <c r="K862" s="587"/>
      <c r="L862" s="587"/>
      <c r="M862" s="587">
        <f t="shared" si="76"/>
        <v>7</v>
      </c>
      <c r="N862" s="587">
        <f t="shared" si="76"/>
        <v>0</v>
      </c>
      <c r="O862" s="587">
        <f t="shared" si="76"/>
        <v>0</v>
      </c>
      <c r="P862" s="587">
        <f t="shared" si="75"/>
        <v>0</v>
      </c>
    </row>
    <row r="863" spans="2:16">
      <c r="B863" s="587" t="s">
        <v>868</v>
      </c>
      <c r="C863" s="587" t="s">
        <v>869</v>
      </c>
      <c r="D863" s="587" t="s">
        <v>871</v>
      </c>
      <c r="E863" s="587"/>
      <c r="F863" s="587" t="str">
        <f t="shared" si="72"/>
        <v>Marche à pied (exclusivement sur tout le trajet)</v>
      </c>
      <c r="G863" s="587">
        <f t="shared" si="73"/>
        <v>7</v>
      </c>
      <c r="H863" s="587"/>
      <c r="I863" s="587">
        <v>15</v>
      </c>
      <c r="J863" s="587">
        <f t="shared" si="74"/>
        <v>0</v>
      </c>
      <c r="K863" s="587"/>
      <c r="L863" s="587"/>
      <c r="M863" s="587">
        <f t="shared" si="76"/>
        <v>7</v>
      </c>
      <c r="N863" s="587">
        <f t="shared" si="76"/>
        <v>0</v>
      </c>
      <c r="O863" s="587">
        <f t="shared" si="76"/>
        <v>0</v>
      </c>
      <c r="P863" s="587">
        <f t="shared" si="75"/>
        <v>0</v>
      </c>
    </row>
    <row r="864" spans="2:16">
      <c r="B864" s="587" t="s">
        <v>868</v>
      </c>
      <c r="C864" s="587" t="s">
        <v>882</v>
      </c>
      <c r="D864" s="587"/>
      <c r="E864" s="587" t="s">
        <v>879</v>
      </c>
      <c r="F864" s="587" t="str">
        <f t="shared" si="72"/>
        <v>Voiture (seul(e))</v>
      </c>
      <c r="G864" s="587">
        <f t="shared" si="73"/>
        <v>3</v>
      </c>
      <c r="H864" s="587"/>
      <c r="I864" s="587">
        <v>60</v>
      </c>
      <c r="J864" s="587">
        <f t="shared" si="74"/>
        <v>2.7600000000000002</v>
      </c>
      <c r="K864" s="587"/>
      <c r="L864" s="587"/>
      <c r="M864" s="587">
        <f t="shared" si="76"/>
        <v>0</v>
      </c>
      <c r="N864" s="587">
        <f t="shared" si="76"/>
        <v>0</v>
      </c>
      <c r="O864" s="587">
        <f t="shared" si="76"/>
        <v>3</v>
      </c>
      <c r="P864" s="587">
        <f t="shared" si="75"/>
        <v>0</v>
      </c>
    </row>
    <row r="865" spans="2:16">
      <c r="B865" s="587" t="s">
        <v>868</v>
      </c>
      <c r="C865" s="587" t="s">
        <v>875</v>
      </c>
      <c r="D865" s="587" t="s">
        <v>879</v>
      </c>
      <c r="E865" s="587"/>
      <c r="F865" s="587" t="str">
        <f t="shared" si="72"/>
        <v>Voiture (seul(e))</v>
      </c>
      <c r="G865" s="587">
        <f t="shared" si="73"/>
        <v>3</v>
      </c>
      <c r="H865" s="587"/>
      <c r="I865" s="587">
        <v>60</v>
      </c>
      <c r="J865" s="587">
        <f t="shared" si="74"/>
        <v>2.7600000000000002</v>
      </c>
      <c r="K865" s="587"/>
      <c r="L865" s="587"/>
      <c r="M865" s="587">
        <f t="shared" si="76"/>
        <v>0</v>
      </c>
      <c r="N865" s="587">
        <f t="shared" si="76"/>
        <v>3</v>
      </c>
      <c r="O865" s="587">
        <f t="shared" si="76"/>
        <v>0</v>
      </c>
      <c r="P865" s="587">
        <f t="shared" si="75"/>
        <v>0</v>
      </c>
    </row>
    <row r="866" spans="2:16">
      <c r="B866" s="587" t="s">
        <v>868</v>
      </c>
      <c r="C866" s="587" t="s">
        <v>869</v>
      </c>
      <c r="D866" s="587" t="s">
        <v>871</v>
      </c>
      <c r="E866" s="587"/>
      <c r="F866" s="587" t="str">
        <f t="shared" si="72"/>
        <v>Marche à pied (exclusivement sur tout le trajet)</v>
      </c>
      <c r="G866" s="587">
        <f t="shared" si="73"/>
        <v>7</v>
      </c>
      <c r="H866" s="587"/>
      <c r="I866" s="587">
        <v>7</v>
      </c>
      <c r="J866" s="587">
        <f t="shared" si="74"/>
        <v>0</v>
      </c>
      <c r="K866" s="587"/>
      <c r="L866" s="587"/>
      <c r="M866" s="587">
        <f t="shared" si="76"/>
        <v>7</v>
      </c>
      <c r="N866" s="587">
        <f t="shared" si="76"/>
        <v>0</v>
      </c>
      <c r="O866" s="587">
        <f t="shared" si="76"/>
        <v>0</v>
      </c>
      <c r="P866" s="587">
        <f t="shared" si="75"/>
        <v>0</v>
      </c>
    </row>
    <row r="867" spans="2:16">
      <c r="B867" s="587" t="s">
        <v>868</v>
      </c>
      <c r="C867" s="587" t="s">
        <v>875</v>
      </c>
      <c r="D867" s="587" t="s">
        <v>884</v>
      </c>
      <c r="E867" s="587"/>
      <c r="F867" s="587" t="str">
        <f t="shared" si="72"/>
        <v>Deux roues motorisées (moto, scooter, mobylette,…)</v>
      </c>
      <c r="G867" s="587">
        <f t="shared" si="73"/>
        <v>5</v>
      </c>
      <c r="H867" s="587"/>
      <c r="I867" s="587">
        <v>115</v>
      </c>
      <c r="J867" s="587">
        <f t="shared" si="74"/>
        <v>1.288</v>
      </c>
      <c r="K867" s="587"/>
      <c r="L867" s="587"/>
      <c r="M867" s="587">
        <f t="shared" si="76"/>
        <v>0</v>
      </c>
      <c r="N867" s="587">
        <f t="shared" si="76"/>
        <v>5</v>
      </c>
      <c r="O867" s="587">
        <f t="shared" si="76"/>
        <v>0</v>
      </c>
      <c r="P867" s="587">
        <f t="shared" si="75"/>
        <v>0</v>
      </c>
    </row>
    <row r="868" spans="2:16">
      <c r="B868" s="587" t="s">
        <v>868</v>
      </c>
      <c r="C868" s="587" t="s">
        <v>882</v>
      </c>
      <c r="D868" s="587" t="s">
        <v>879</v>
      </c>
      <c r="E868" s="587"/>
      <c r="F868" s="587" t="str">
        <f t="shared" si="72"/>
        <v>Voiture (seul(e))</v>
      </c>
      <c r="G868" s="587">
        <f t="shared" si="73"/>
        <v>3</v>
      </c>
      <c r="H868" s="587"/>
      <c r="I868" s="587">
        <v>70</v>
      </c>
      <c r="J868" s="587">
        <f t="shared" si="74"/>
        <v>2.7600000000000002</v>
      </c>
      <c r="K868" s="587"/>
      <c r="L868" s="587"/>
      <c r="M868" s="587">
        <f t="shared" si="76"/>
        <v>0</v>
      </c>
      <c r="N868" s="587">
        <f t="shared" si="76"/>
        <v>0</v>
      </c>
      <c r="O868" s="587">
        <f t="shared" si="76"/>
        <v>3</v>
      </c>
      <c r="P868" s="587">
        <f t="shared" si="75"/>
        <v>0</v>
      </c>
    </row>
    <row r="869" spans="2:16">
      <c r="B869" s="587" t="s">
        <v>868</v>
      </c>
      <c r="C869" s="587" t="s">
        <v>869</v>
      </c>
      <c r="D869" s="587" t="s">
        <v>871</v>
      </c>
      <c r="E869" s="587"/>
      <c r="F869" s="587" t="str">
        <f t="shared" si="72"/>
        <v>Marche à pied (exclusivement sur tout le trajet)</v>
      </c>
      <c r="G869" s="587">
        <f t="shared" si="73"/>
        <v>7</v>
      </c>
      <c r="H869" s="587"/>
      <c r="I869" s="587">
        <v>7</v>
      </c>
      <c r="J869" s="587">
        <f t="shared" si="74"/>
        <v>0</v>
      </c>
      <c r="K869" s="587"/>
      <c r="L869" s="587"/>
      <c r="M869" s="587">
        <f t="shared" si="76"/>
        <v>7</v>
      </c>
      <c r="N869" s="587">
        <f t="shared" si="76"/>
        <v>0</v>
      </c>
      <c r="O869" s="587">
        <f t="shared" si="76"/>
        <v>0</v>
      </c>
      <c r="P869" s="587">
        <f t="shared" si="75"/>
        <v>0</v>
      </c>
    </row>
    <row r="870" spans="2:16">
      <c r="B870" s="587" t="s">
        <v>868</v>
      </c>
      <c r="C870" s="587" t="s">
        <v>869</v>
      </c>
      <c r="D870" s="587"/>
      <c r="E870" s="587" t="s">
        <v>873</v>
      </c>
      <c r="F870" s="587" t="str">
        <f t="shared" si="72"/>
        <v>Tramway</v>
      </c>
      <c r="G870" s="587">
        <f t="shared" si="73"/>
        <v>1</v>
      </c>
      <c r="H870" s="587"/>
      <c r="I870" s="587"/>
      <c r="J870" s="587">
        <f t="shared" si="74"/>
        <v>4.8833333333333326E-2</v>
      </c>
      <c r="K870" s="587"/>
      <c r="L870" s="587"/>
      <c r="M870" s="587">
        <f t="shared" si="76"/>
        <v>1</v>
      </c>
      <c r="N870" s="587">
        <f t="shared" si="76"/>
        <v>0</v>
      </c>
      <c r="O870" s="587">
        <f t="shared" si="76"/>
        <v>0</v>
      </c>
      <c r="P870" s="587">
        <f t="shared" si="75"/>
        <v>0</v>
      </c>
    </row>
    <row r="871" spans="2:16">
      <c r="B871" s="587" t="s">
        <v>868</v>
      </c>
      <c r="C871" s="587" t="s">
        <v>869</v>
      </c>
      <c r="D871" s="587" t="s">
        <v>871</v>
      </c>
      <c r="E871" s="587"/>
      <c r="F871" s="587" t="str">
        <f t="shared" si="72"/>
        <v>Marche à pied (exclusivement sur tout le trajet)</v>
      </c>
      <c r="G871" s="587">
        <f t="shared" si="73"/>
        <v>7</v>
      </c>
      <c r="H871" s="587"/>
      <c r="I871" s="587">
        <v>8</v>
      </c>
      <c r="J871" s="587">
        <f t="shared" si="74"/>
        <v>0</v>
      </c>
      <c r="K871" s="587"/>
      <c r="L871" s="587"/>
      <c r="M871" s="587">
        <f t="shared" si="76"/>
        <v>7</v>
      </c>
      <c r="N871" s="587">
        <f t="shared" si="76"/>
        <v>0</v>
      </c>
      <c r="O871" s="587">
        <f t="shared" si="76"/>
        <v>0</v>
      </c>
      <c r="P871" s="587">
        <f t="shared" si="75"/>
        <v>0</v>
      </c>
    </row>
    <row r="872" spans="2:16">
      <c r="B872" s="587" t="s">
        <v>868</v>
      </c>
      <c r="C872" s="587" t="s">
        <v>869</v>
      </c>
      <c r="D872" s="587" t="s">
        <v>872</v>
      </c>
      <c r="E872" s="587"/>
      <c r="F872" s="587" t="str">
        <f t="shared" si="72"/>
        <v>Vélo personnel (y compris vélo à assistance électrique)</v>
      </c>
      <c r="G872" s="587">
        <f t="shared" si="73"/>
        <v>7</v>
      </c>
      <c r="H872" s="587"/>
      <c r="I872" s="587">
        <v>10</v>
      </c>
      <c r="J872" s="587">
        <f t="shared" si="74"/>
        <v>0</v>
      </c>
      <c r="K872" s="587"/>
      <c r="L872" s="587"/>
      <c r="M872" s="587">
        <f t="shared" si="76"/>
        <v>7</v>
      </c>
      <c r="N872" s="587">
        <f t="shared" si="76"/>
        <v>0</v>
      </c>
      <c r="O872" s="587">
        <f t="shared" si="76"/>
        <v>0</v>
      </c>
      <c r="P872" s="587">
        <f t="shared" si="75"/>
        <v>0</v>
      </c>
    </row>
    <row r="873" spans="2:16">
      <c r="B873" s="587" t="s">
        <v>868</v>
      </c>
      <c r="C873" s="587" t="s">
        <v>869</v>
      </c>
      <c r="D873" s="587" t="s">
        <v>872</v>
      </c>
      <c r="E873" s="587"/>
      <c r="F873" s="587" t="str">
        <f t="shared" si="72"/>
        <v>Vélo personnel (y compris vélo à assistance électrique)</v>
      </c>
      <c r="G873" s="587">
        <f t="shared" si="73"/>
        <v>7</v>
      </c>
      <c r="H873" s="587"/>
      <c r="I873" s="587">
        <v>10</v>
      </c>
      <c r="J873" s="587">
        <f t="shared" si="74"/>
        <v>0</v>
      </c>
      <c r="K873" s="587"/>
      <c r="L873" s="587"/>
      <c r="M873" s="587">
        <f t="shared" si="76"/>
        <v>7</v>
      </c>
      <c r="N873" s="587">
        <f t="shared" si="76"/>
        <v>0</v>
      </c>
      <c r="O873" s="587">
        <f t="shared" si="76"/>
        <v>0</v>
      </c>
      <c r="P873" s="587">
        <f t="shared" si="75"/>
        <v>0</v>
      </c>
    </row>
    <row r="874" spans="2:16">
      <c r="B874" s="587" t="s">
        <v>868</v>
      </c>
      <c r="C874" s="587" t="s">
        <v>869</v>
      </c>
      <c r="D874" s="587" t="s">
        <v>871</v>
      </c>
      <c r="E874" s="587"/>
      <c r="F874" s="587" t="str">
        <f t="shared" si="72"/>
        <v>Marche à pied (exclusivement sur tout le trajet)</v>
      </c>
      <c r="G874" s="587">
        <f t="shared" si="73"/>
        <v>7</v>
      </c>
      <c r="H874" s="587"/>
      <c r="I874" s="587">
        <v>2</v>
      </c>
      <c r="J874" s="587">
        <f t="shared" si="74"/>
        <v>0</v>
      </c>
      <c r="K874" s="587"/>
      <c r="L874" s="587"/>
      <c r="M874" s="587">
        <f t="shared" si="76"/>
        <v>7</v>
      </c>
      <c r="N874" s="587">
        <f t="shared" si="76"/>
        <v>0</v>
      </c>
      <c r="O874" s="587">
        <f t="shared" si="76"/>
        <v>0</v>
      </c>
      <c r="P874" s="587">
        <f t="shared" si="75"/>
        <v>0</v>
      </c>
    </row>
    <row r="875" spans="2:16">
      <c r="B875" s="587" t="s">
        <v>868</v>
      </c>
      <c r="C875" s="587" t="s">
        <v>869</v>
      </c>
      <c r="D875" s="587" t="s">
        <v>871</v>
      </c>
      <c r="E875" s="587"/>
      <c r="F875" s="587" t="str">
        <f t="shared" si="72"/>
        <v>Marche à pied (exclusivement sur tout le trajet)</v>
      </c>
      <c r="G875" s="587">
        <f t="shared" si="73"/>
        <v>7</v>
      </c>
      <c r="H875" s="587"/>
      <c r="I875" s="587">
        <v>10</v>
      </c>
      <c r="J875" s="587">
        <f t="shared" si="74"/>
        <v>0</v>
      </c>
      <c r="K875" s="587"/>
      <c r="L875" s="587"/>
      <c r="M875" s="587">
        <f t="shared" si="76"/>
        <v>7</v>
      </c>
      <c r="N875" s="587">
        <f t="shared" si="76"/>
        <v>0</v>
      </c>
      <c r="O875" s="587">
        <f t="shared" si="76"/>
        <v>0</v>
      </c>
      <c r="P875" s="587">
        <f t="shared" si="75"/>
        <v>0</v>
      </c>
    </row>
    <row r="876" spans="2:16">
      <c r="B876" s="587" t="s">
        <v>868</v>
      </c>
      <c r="C876" s="587" t="s">
        <v>869</v>
      </c>
      <c r="D876" s="587" t="s">
        <v>877</v>
      </c>
      <c r="E876" s="587"/>
      <c r="F876" s="587" t="str">
        <f t="shared" si="72"/>
        <v>Vélo’v</v>
      </c>
      <c r="G876" s="587">
        <f t="shared" si="73"/>
        <v>7</v>
      </c>
      <c r="H876" s="587"/>
      <c r="I876" s="587">
        <v>15</v>
      </c>
      <c r="J876" s="587">
        <f t="shared" si="74"/>
        <v>0</v>
      </c>
      <c r="K876" s="587"/>
      <c r="L876" s="587"/>
      <c r="M876" s="587">
        <f t="shared" si="76"/>
        <v>7</v>
      </c>
      <c r="N876" s="587">
        <f t="shared" si="76"/>
        <v>0</v>
      </c>
      <c r="O876" s="587">
        <f t="shared" si="76"/>
        <v>0</v>
      </c>
      <c r="P876" s="587">
        <f t="shared" si="75"/>
        <v>0</v>
      </c>
    </row>
    <row r="877" spans="2:16">
      <c r="B877" s="587" t="s">
        <v>868</v>
      </c>
      <c r="C877" s="587" t="s">
        <v>875</v>
      </c>
      <c r="D877" s="587"/>
      <c r="E877" s="587" t="s">
        <v>870</v>
      </c>
      <c r="F877" s="587" t="str">
        <f t="shared" si="72"/>
        <v>Métro</v>
      </c>
      <c r="G877" s="587">
        <f t="shared" si="73"/>
        <v>1</v>
      </c>
      <c r="H877" s="587"/>
      <c r="I877" s="587">
        <v>20</v>
      </c>
      <c r="J877" s="587">
        <f t="shared" si="74"/>
        <v>4.8833333333333326E-2</v>
      </c>
      <c r="K877" s="587"/>
      <c r="L877" s="587"/>
      <c r="M877" s="587">
        <f t="shared" si="76"/>
        <v>0</v>
      </c>
      <c r="N877" s="587">
        <f t="shared" si="76"/>
        <v>1</v>
      </c>
      <c r="O877" s="587">
        <f t="shared" si="76"/>
        <v>0</v>
      </c>
      <c r="P877" s="587">
        <f t="shared" si="75"/>
        <v>0</v>
      </c>
    </row>
    <row r="878" spans="2:16">
      <c r="B878" s="587" t="s">
        <v>868</v>
      </c>
      <c r="C878" s="587" t="s">
        <v>869</v>
      </c>
      <c r="D878" s="587" t="s">
        <v>871</v>
      </c>
      <c r="E878" s="587"/>
      <c r="F878" s="587" t="str">
        <f t="shared" si="72"/>
        <v>Marche à pied (exclusivement sur tout le trajet)</v>
      </c>
      <c r="G878" s="587">
        <f t="shared" si="73"/>
        <v>7</v>
      </c>
      <c r="H878" s="587"/>
      <c r="I878" s="587">
        <v>10</v>
      </c>
      <c r="J878" s="587">
        <f t="shared" si="74"/>
        <v>0</v>
      </c>
      <c r="K878" s="587"/>
      <c r="L878" s="587"/>
      <c r="M878" s="587">
        <f t="shared" si="76"/>
        <v>7</v>
      </c>
      <c r="N878" s="587">
        <f t="shared" si="76"/>
        <v>0</v>
      </c>
      <c r="O878" s="587">
        <f t="shared" si="76"/>
        <v>0</v>
      </c>
      <c r="P878" s="587">
        <f t="shared" si="75"/>
        <v>0</v>
      </c>
    </row>
    <row r="879" spans="2:16">
      <c r="B879" s="587" t="s">
        <v>868</v>
      </c>
      <c r="C879" s="587" t="s">
        <v>869</v>
      </c>
      <c r="D879" s="587" t="s">
        <v>873</v>
      </c>
      <c r="E879" s="587"/>
      <c r="F879" s="587" t="str">
        <f t="shared" si="72"/>
        <v>Tramway</v>
      </c>
      <c r="G879" s="587">
        <f t="shared" si="73"/>
        <v>1</v>
      </c>
      <c r="H879" s="587"/>
      <c r="I879" s="587">
        <v>15</v>
      </c>
      <c r="J879" s="587">
        <f t="shared" si="74"/>
        <v>4.8833333333333326E-2</v>
      </c>
      <c r="K879" s="587"/>
      <c r="L879" s="587"/>
      <c r="M879" s="587">
        <f t="shared" si="76"/>
        <v>1</v>
      </c>
      <c r="N879" s="587">
        <f t="shared" si="76"/>
        <v>0</v>
      </c>
      <c r="O879" s="587">
        <f t="shared" si="76"/>
        <v>0</v>
      </c>
      <c r="P879" s="587">
        <f t="shared" si="75"/>
        <v>0</v>
      </c>
    </row>
    <row r="880" spans="2:16">
      <c r="B880" s="587" t="s">
        <v>868</v>
      </c>
      <c r="C880" s="587" t="s">
        <v>869</v>
      </c>
      <c r="D880" s="587" t="s">
        <v>871</v>
      </c>
      <c r="E880" s="587"/>
      <c r="F880" s="587" t="str">
        <f t="shared" si="72"/>
        <v>Marche à pied (exclusivement sur tout le trajet)</v>
      </c>
      <c r="G880" s="587">
        <f t="shared" si="73"/>
        <v>7</v>
      </c>
      <c r="H880" s="587"/>
      <c r="I880" s="587">
        <v>10</v>
      </c>
      <c r="J880" s="587">
        <f t="shared" si="74"/>
        <v>0</v>
      </c>
      <c r="K880" s="587"/>
      <c r="L880" s="587"/>
      <c r="M880" s="587">
        <f t="shared" si="76"/>
        <v>7</v>
      </c>
      <c r="N880" s="587">
        <f t="shared" si="76"/>
        <v>0</v>
      </c>
      <c r="O880" s="587">
        <f t="shared" si="76"/>
        <v>0</v>
      </c>
      <c r="P880" s="587">
        <f t="shared" si="75"/>
        <v>0</v>
      </c>
    </row>
    <row r="881" spans="2:16">
      <c r="B881" s="587" t="s">
        <v>868</v>
      </c>
      <c r="C881" s="587" t="s">
        <v>869</v>
      </c>
      <c r="D881" s="587" t="s">
        <v>871</v>
      </c>
      <c r="E881" s="587"/>
      <c r="F881" s="587" t="str">
        <f t="shared" si="72"/>
        <v>Marche à pied (exclusivement sur tout le trajet)</v>
      </c>
      <c r="G881" s="587">
        <f t="shared" si="73"/>
        <v>7</v>
      </c>
      <c r="H881" s="587"/>
      <c r="I881" s="587">
        <v>10</v>
      </c>
      <c r="J881" s="587">
        <f t="shared" si="74"/>
        <v>0</v>
      </c>
      <c r="K881" s="587"/>
      <c r="L881" s="587"/>
      <c r="M881" s="587">
        <f t="shared" si="76"/>
        <v>7</v>
      </c>
      <c r="N881" s="587">
        <f t="shared" si="76"/>
        <v>0</v>
      </c>
      <c r="O881" s="587">
        <f t="shared" si="76"/>
        <v>0</v>
      </c>
      <c r="P881" s="587">
        <f t="shared" si="75"/>
        <v>0</v>
      </c>
    </row>
    <row r="882" spans="2:16">
      <c r="B882" s="587" t="s">
        <v>868</v>
      </c>
      <c r="C882" s="587" t="s">
        <v>869</v>
      </c>
      <c r="D882" s="587" t="s">
        <v>876</v>
      </c>
      <c r="E882" s="587"/>
      <c r="F882" s="587" t="str">
        <f t="shared" si="72"/>
        <v>Trottinette, roller, skateboard,...</v>
      </c>
      <c r="G882" s="587">
        <f t="shared" si="73"/>
        <v>7</v>
      </c>
      <c r="H882" s="587"/>
      <c r="I882" s="587">
        <v>5</v>
      </c>
      <c r="J882" s="587">
        <f t="shared" si="74"/>
        <v>0</v>
      </c>
      <c r="K882" s="587"/>
      <c r="L882" s="587"/>
      <c r="M882" s="587">
        <f t="shared" si="76"/>
        <v>7</v>
      </c>
      <c r="N882" s="587">
        <f t="shared" si="76"/>
        <v>0</v>
      </c>
      <c r="O882" s="587">
        <f t="shared" si="76"/>
        <v>0</v>
      </c>
      <c r="P882" s="587">
        <f t="shared" si="75"/>
        <v>0</v>
      </c>
    </row>
    <row r="883" spans="2:16">
      <c r="B883" s="587" t="s">
        <v>868</v>
      </c>
      <c r="C883" s="587" t="s">
        <v>869</v>
      </c>
      <c r="D883" s="587"/>
      <c r="E883" s="587" t="s">
        <v>873</v>
      </c>
      <c r="F883" s="587" t="str">
        <f t="shared" si="72"/>
        <v>Tramway</v>
      </c>
      <c r="G883" s="587">
        <f t="shared" si="73"/>
        <v>1</v>
      </c>
      <c r="H883" s="587"/>
      <c r="I883" s="587"/>
      <c r="J883" s="587">
        <f t="shared" si="74"/>
        <v>4.8833333333333326E-2</v>
      </c>
      <c r="K883" s="587"/>
      <c r="L883" s="587"/>
      <c r="M883" s="587">
        <f t="shared" si="76"/>
        <v>1</v>
      </c>
      <c r="N883" s="587">
        <f t="shared" si="76"/>
        <v>0</v>
      </c>
      <c r="O883" s="587">
        <f t="shared" si="76"/>
        <v>0</v>
      </c>
      <c r="P883" s="587">
        <f t="shared" si="75"/>
        <v>0</v>
      </c>
    </row>
    <row r="884" spans="2:16">
      <c r="B884" s="587" t="s">
        <v>868</v>
      </c>
      <c r="C884" s="587" t="s">
        <v>869</v>
      </c>
      <c r="D884" s="587" t="s">
        <v>871</v>
      </c>
      <c r="E884" s="587"/>
      <c r="F884" s="587" t="str">
        <f t="shared" si="72"/>
        <v>Marche à pied (exclusivement sur tout le trajet)</v>
      </c>
      <c r="G884" s="587">
        <f t="shared" si="73"/>
        <v>7</v>
      </c>
      <c r="H884" s="587"/>
      <c r="I884" s="587">
        <v>10</v>
      </c>
      <c r="J884" s="587">
        <f t="shared" si="74"/>
        <v>0</v>
      </c>
      <c r="K884" s="587"/>
      <c r="L884" s="587"/>
      <c r="M884" s="587">
        <f t="shared" si="76"/>
        <v>7</v>
      </c>
      <c r="N884" s="587">
        <f t="shared" si="76"/>
        <v>0</v>
      </c>
      <c r="O884" s="587">
        <f t="shared" si="76"/>
        <v>0</v>
      </c>
      <c r="P884" s="587">
        <f t="shared" si="75"/>
        <v>0</v>
      </c>
    </row>
    <row r="885" spans="2:16">
      <c r="B885" s="587" t="s">
        <v>868</v>
      </c>
      <c r="C885" s="587" t="s">
        <v>869</v>
      </c>
      <c r="D885" s="587" t="s">
        <v>872</v>
      </c>
      <c r="E885" s="587"/>
      <c r="F885" s="587" t="str">
        <f t="shared" si="72"/>
        <v>Vélo personnel (y compris vélo à assistance électrique)</v>
      </c>
      <c r="G885" s="587">
        <f t="shared" si="73"/>
        <v>7</v>
      </c>
      <c r="H885" s="587"/>
      <c r="I885" s="587">
        <v>10</v>
      </c>
      <c r="J885" s="587">
        <f t="shared" si="74"/>
        <v>0</v>
      </c>
      <c r="K885" s="587"/>
      <c r="L885" s="587"/>
      <c r="M885" s="587">
        <f t="shared" si="76"/>
        <v>7</v>
      </c>
      <c r="N885" s="587">
        <f t="shared" si="76"/>
        <v>0</v>
      </c>
      <c r="O885" s="587">
        <f t="shared" si="76"/>
        <v>0</v>
      </c>
      <c r="P885" s="587">
        <f t="shared" si="75"/>
        <v>0</v>
      </c>
    </row>
    <row r="886" spans="2:16">
      <c r="B886" s="587" t="s">
        <v>868</v>
      </c>
      <c r="C886" s="587" t="s">
        <v>869</v>
      </c>
      <c r="D886" s="587" t="s">
        <v>872</v>
      </c>
      <c r="E886" s="587"/>
      <c r="F886" s="587" t="str">
        <f t="shared" si="72"/>
        <v>Vélo personnel (y compris vélo à assistance électrique)</v>
      </c>
      <c r="G886" s="587">
        <f t="shared" si="73"/>
        <v>7</v>
      </c>
      <c r="H886" s="587"/>
      <c r="I886" s="587">
        <v>14</v>
      </c>
      <c r="J886" s="587">
        <f t="shared" si="74"/>
        <v>0</v>
      </c>
      <c r="K886" s="587"/>
      <c r="L886" s="587"/>
      <c r="M886" s="587">
        <f t="shared" si="76"/>
        <v>7</v>
      </c>
      <c r="N886" s="587">
        <f t="shared" si="76"/>
        <v>0</v>
      </c>
      <c r="O886" s="587">
        <f t="shared" si="76"/>
        <v>0</v>
      </c>
      <c r="P886" s="587">
        <f t="shared" si="75"/>
        <v>0</v>
      </c>
    </row>
    <row r="887" spans="2:16">
      <c r="B887" s="587" t="s">
        <v>868</v>
      </c>
      <c r="C887" s="587" t="s">
        <v>869</v>
      </c>
      <c r="D887" s="587" t="s">
        <v>871</v>
      </c>
      <c r="E887" s="587"/>
      <c r="F887" s="587" t="str">
        <f t="shared" si="72"/>
        <v>Marche à pied (exclusivement sur tout le trajet)</v>
      </c>
      <c r="G887" s="587">
        <f t="shared" si="73"/>
        <v>7</v>
      </c>
      <c r="H887" s="587"/>
      <c r="I887" s="587">
        <v>5</v>
      </c>
      <c r="J887" s="587">
        <f t="shared" si="74"/>
        <v>0</v>
      </c>
      <c r="K887" s="587"/>
      <c r="L887" s="587"/>
      <c r="M887" s="587">
        <f t="shared" si="76"/>
        <v>7</v>
      </c>
      <c r="N887" s="587">
        <f t="shared" si="76"/>
        <v>0</v>
      </c>
      <c r="O887" s="587">
        <f t="shared" si="76"/>
        <v>0</v>
      </c>
      <c r="P887" s="587">
        <f t="shared" si="75"/>
        <v>0</v>
      </c>
    </row>
    <row r="888" spans="2:16">
      <c r="B888" s="587" t="s">
        <v>868</v>
      </c>
      <c r="C888" s="587" t="s">
        <v>869</v>
      </c>
      <c r="D888" s="587"/>
      <c r="E888" s="587" t="s">
        <v>870</v>
      </c>
      <c r="F888" s="587" t="str">
        <f t="shared" si="72"/>
        <v>Métro</v>
      </c>
      <c r="G888" s="587">
        <f t="shared" si="73"/>
        <v>1</v>
      </c>
      <c r="H888" s="587"/>
      <c r="I888" s="587">
        <v>40</v>
      </c>
      <c r="J888" s="587">
        <f t="shared" si="74"/>
        <v>4.8833333333333326E-2</v>
      </c>
      <c r="K888" s="587"/>
      <c r="L888" s="587"/>
      <c r="M888" s="587">
        <f t="shared" si="76"/>
        <v>1</v>
      </c>
      <c r="N888" s="587">
        <f t="shared" si="76"/>
        <v>0</v>
      </c>
      <c r="O888" s="587">
        <f t="shared" si="76"/>
        <v>0</v>
      </c>
      <c r="P888" s="587">
        <f t="shared" si="75"/>
        <v>0</v>
      </c>
    </row>
    <row r="889" spans="2:16">
      <c r="B889" s="587" t="s">
        <v>868</v>
      </c>
      <c r="C889" s="587" t="s">
        <v>875</v>
      </c>
      <c r="D889" s="587" t="s">
        <v>872</v>
      </c>
      <c r="E889" s="587"/>
      <c r="F889" s="587" t="str">
        <f t="shared" si="72"/>
        <v>Vélo personnel (y compris vélo à assistance électrique)</v>
      </c>
      <c r="G889" s="587">
        <f t="shared" si="73"/>
        <v>7</v>
      </c>
      <c r="H889" s="587"/>
      <c r="I889" s="587">
        <v>20</v>
      </c>
      <c r="J889" s="587">
        <f t="shared" si="74"/>
        <v>0</v>
      </c>
      <c r="K889" s="587"/>
      <c r="L889" s="587"/>
      <c r="M889" s="587">
        <f t="shared" si="76"/>
        <v>0</v>
      </c>
      <c r="N889" s="587">
        <f t="shared" si="76"/>
        <v>7</v>
      </c>
      <c r="O889" s="587">
        <f t="shared" si="76"/>
        <v>0</v>
      </c>
      <c r="P889" s="587">
        <f t="shared" si="75"/>
        <v>0</v>
      </c>
    </row>
    <row r="890" spans="2:16">
      <c r="B890" s="587" t="s">
        <v>868</v>
      </c>
      <c r="C890" s="587" t="s">
        <v>869</v>
      </c>
      <c r="D890" s="587" t="s">
        <v>876</v>
      </c>
      <c r="E890" s="587"/>
      <c r="F890" s="587" t="str">
        <f t="shared" si="72"/>
        <v>Trottinette, roller, skateboard,...</v>
      </c>
      <c r="G890" s="587">
        <f t="shared" si="73"/>
        <v>7</v>
      </c>
      <c r="H890" s="587"/>
      <c r="I890" s="587">
        <v>2</v>
      </c>
      <c r="J890" s="587">
        <f t="shared" si="74"/>
        <v>0</v>
      </c>
      <c r="K890" s="587"/>
      <c r="L890" s="587"/>
      <c r="M890" s="587">
        <f t="shared" si="76"/>
        <v>7</v>
      </c>
      <c r="N890" s="587">
        <f t="shared" si="76"/>
        <v>0</v>
      </c>
      <c r="O890" s="587">
        <f t="shared" si="76"/>
        <v>0</v>
      </c>
      <c r="P890" s="587">
        <f t="shared" si="75"/>
        <v>0</v>
      </c>
    </row>
    <row r="891" spans="2:16">
      <c r="B891" s="587" t="s">
        <v>868</v>
      </c>
      <c r="C891" s="587" t="s">
        <v>869</v>
      </c>
      <c r="D891" s="587" t="s">
        <v>872</v>
      </c>
      <c r="E891" s="587"/>
      <c r="F891" s="587" t="str">
        <f t="shared" si="72"/>
        <v>Vélo personnel (y compris vélo à assistance électrique)</v>
      </c>
      <c r="G891" s="587">
        <f t="shared" si="73"/>
        <v>7</v>
      </c>
      <c r="H891" s="587"/>
      <c r="I891" s="587">
        <v>10</v>
      </c>
      <c r="J891" s="587">
        <f t="shared" si="74"/>
        <v>0</v>
      </c>
      <c r="K891" s="587"/>
      <c r="L891" s="587"/>
      <c r="M891" s="587">
        <f t="shared" si="76"/>
        <v>7</v>
      </c>
      <c r="N891" s="587">
        <f t="shared" si="76"/>
        <v>0</v>
      </c>
      <c r="O891" s="587">
        <f t="shared" si="76"/>
        <v>0</v>
      </c>
      <c r="P891" s="587">
        <f t="shared" si="75"/>
        <v>0</v>
      </c>
    </row>
    <row r="892" spans="2:16">
      <c r="B892" s="587" t="s">
        <v>868</v>
      </c>
      <c r="C892" s="587" t="s">
        <v>869</v>
      </c>
      <c r="D892" s="587" t="s">
        <v>872</v>
      </c>
      <c r="E892" s="587"/>
      <c r="F892" s="587" t="str">
        <f t="shared" ref="F892:F955" si="77">IF(D892="",E892,D892)</f>
        <v>Vélo personnel (y compris vélo à assistance électrique)</v>
      </c>
      <c r="G892" s="587">
        <f t="shared" ref="G892:G955" si="78">IF(F892="Métro",1,IF(F892="Tramway",1,IF(F892="Vélo'v",7,IF(F892="Marche à pied (exclusivement sur tout le trajet)",7,IF(F892="Vélo personnel (y compris vélo à assistance électrique)",7,IF(F892="Trottinette, roller, skateboard,…",7,IF(F892="Marche à pied au-delà de 5 minutes",7,IF(F892="Voiture (seul(e))",3,IF(F892="Bus",2,IF(F892="Trottinette, roller, skateboard au-delà de 5 minutes",7,IF(F892="Covoiturage (passager(ère))",4,IF(F892="Trottinette, roller, skateboard,...",7,IF(F892="Vélo’v",7,IF(F892="Train (TER,TGV,...)",6,IF(F892="Deux roues motorisées (moto, scooter, mobylette,…)",5,IF(F892="Covoiturage (conducteur(trice))",4,IF(F892="Train (TER,..)",6,0)))))))))))))))))</f>
        <v>7</v>
      </c>
      <c r="H892" s="587"/>
      <c r="I892" s="587">
        <v>8</v>
      </c>
      <c r="J892" s="587">
        <f t="shared" ref="J892:J955" si="79">IF(G892=1,$C$6*($I$28*$K$6)/$J$6,IF(G892=2,$C$7*($I$28*$K$7)/$J$7,IF(G892=3,$C$8*$I$28*$K$8/$J$8,IF(G892=4,$C$9*$I$28*$K$9/$J$9,IF(G892=5,$C$10*$I$28*$K$10/$J$10,IF(G892=6,$C$11*$K$11*$I$28/$J$11,0))))))</f>
        <v>0</v>
      </c>
      <c r="K892" s="587"/>
      <c r="L892" s="587"/>
      <c r="M892" s="587">
        <f t="shared" si="76"/>
        <v>7</v>
      </c>
      <c r="N892" s="587">
        <f t="shared" si="76"/>
        <v>0</v>
      </c>
      <c r="O892" s="587">
        <f t="shared" si="76"/>
        <v>0</v>
      </c>
      <c r="P892" s="587">
        <f t="shared" si="75"/>
        <v>0</v>
      </c>
    </row>
    <row r="893" spans="2:16">
      <c r="B893" s="587" t="s">
        <v>868</v>
      </c>
      <c r="C893" s="587" t="s">
        <v>869</v>
      </c>
      <c r="D893" s="587" t="s">
        <v>871</v>
      </c>
      <c r="E893" s="587"/>
      <c r="F893" s="587" t="str">
        <f t="shared" si="77"/>
        <v>Marche à pied (exclusivement sur tout le trajet)</v>
      </c>
      <c r="G893" s="587">
        <f t="shared" si="78"/>
        <v>7</v>
      </c>
      <c r="H893" s="587"/>
      <c r="I893" s="587">
        <v>5</v>
      </c>
      <c r="J893" s="587">
        <f t="shared" si="79"/>
        <v>0</v>
      </c>
      <c r="K893" s="587"/>
      <c r="L893" s="587"/>
      <c r="M893" s="587">
        <f t="shared" si="76"/>
        <v>7</v>
      </c>
      <c r="N893" s="587">
        <f t="shared" si="76"/>
        <v>0</v>
      </c>
      <c r="O893" s="587">
        <f t="shared" si="76"/>
        <v>0</v>
      </c>
      <c r="P893" s="587">
        <f t="shared" si="75"/>
        <v>0</v>
      </c>
    </row>
    <row r="894" spans="2:16">
      <c r="B894" s="587" t="s">
        <v>868</v>
      </c>
      <c r="C894" s="587" t="s">
        <v>869</v>
      </c>
      <c r="D894" s="587" t="s">
        <v>848</v>
      </c>
      <c r="E894" s="587"/>
      <c r="F894" s="587" t="str">
        <f t="shared" si="77"/>
        <v>Bus</v>
      </c>
      <c r="G894" s="587">
        <f t="shared" si="78"/>
        <v>2</v>
      </c>
      <c r="H894" s="587"/>
      <c r="I894" s="587">
        <v>27</v>
      </c>
      <c r="J894" s="587">
        <f t="shared" si="79"/>
        <v>1.29</v>
      </c>
      <c r="K894" s="587"/>
      <c r="L894" s="587"/>
      <c r="M894" s="587">
        <f t="shared" si="76"/>
        <v>2</v>
      </c>
      <c r="N894" s="587">
        <f t="shared" si="76"/>
        <v>0</v>
      </c>
      <c r="O894" s="587">
        <f t="shared" si="76"/>
        <v>0</v>
      </c>
      <c r="P894" s="587">
        <f t="shared" si="75"/>
        <v>0</v>
      </c>
    </row>
    <row r="895" spans="2:16">
      <c r="B895" s="587" t="s">
        <v>868</v>
      </c>
      <c r="C895" s="587" t="s">
        <v>35</v>
      </c>
      <c r="D895" s="587" t="s">
        <v>871</v>
      </c>
      <c r="E895" s="587"/>
      <c r="F895" s="587" t="str">
        <f t="shared" si="77"/>
        <v>Marche à pied (exclusivement sur tout le trajet)</v>
      </c>
      <c r="G895" s="587">
        <f t="shared" si="78"/>
        <v>7</v>
      </c>
      <c r="H895" s="587"/>
      <c r="I895" s="587">
        <v>8</v>
      </c>
      <c r="J895" s="587">
        <f t="shared" si="79"/>
        <v>0</v>
      </c>
      <c r="K895" s="587"/>
      <c r="L895" s="587"/>
      <c r="M895" s="587">
        <f t="shared" si="76"/>
        <v>0</v>
      </c>
      <c r="N895" s="587">
        <f t="shared" si="76"/>
        <v>0</v>
      </c>
      <c r="O895" s="587">
        <f t="shared" si="76"/>
        <v>0</v>
      </c>
      <c r="P895" s="587">
        <f t="shared" si="75"/>
        <v>7</v>
      </c>
    </row>
    <row r="896" spans="2:16">
      <c r="B896" s="587" t="s">
        <v>868</v>
      </c>
      <c r="C896" s="587" t="s">
        <v>869</v>
      </c>
      <c r="D896" s="587" t="s">
        <v>885</v>
      </c>
      <c r="E896" s="587"/>
      <c r="F896" s="587" t="str">
        <f t="shared" si="77"/>
        <v>Covoiturage (conducteur(trice))</v>
      </c>
      <c r="G896" s="587">
        <f t="shared" si="78"/>
        <v>4</v>
      </c>
      <c r="H896" s="587"/>
      <c r="I896" s="587">
        <v>15</v>
      </c>
      <c r="J896" s="587">
        <f t="shared" si="79"/>
        <v>0.69000000000000006</v>
      </c>
      <c r="K896" s="587"/>
      <c r="L896" s="587"/>
      <c r="M896" s="587">
        <f t="shared" si="76"/>
        <v>4</v>
      </c>
      <c r="N896" s="587">
        <f t="shared" si="76"/>
        <v>0</v>
      </c>
      <c r="O896" s="587">
        <f t="shared" si="76"/>
        <v>0</v>
      </c>
      <c r="P896" s="587">
        <f t="shared" si="75"/>
        <v>0</v>
      </c>
    </row>
    <row r="897" spans="2:16">
      <c r="B897" s="587" t="s">
        <v>868</v>
      </c>
      <c r="C897" s="587" t="s">
        <v>869</v>
      </c>
      <c r="D897" s="587" t="s">
        <v>871</v>
      </c>
      <c r="E897" s="587"/>
      <c r="F897" s="587" t="str">
        <f t="shared" si="77"/>
        <v>Marche à pied (exclusivement sur tout le trajet)</v>
      </c>
      <c r="G897" s="587">
        <f t="shared" si="78"/>
        <v>7</v>
      </c>
      <c r="H897" s="587"/>
      <c r="I897" s="587">
        <v>5</v>
      </c>
      <c r="J897" s="587">
        <f t="shared" si="79"/>
        <v>0</v>
      </c>
      <c r="K897" s="587"/>
      <c r="L897" s="587"/>
      <c r="M897" s="587">
        <f t="shared" si="76"/>
        <v>7</v>
      </c>
      <c r="N897" s="587">
        <f t="shared" si="76"/>
        <v>0</v>
      </c>
      <c r="O897" s="587">
        <f t="shared" si="76"/>
        <v>0</v>
      </c>
      <c r="P897" s="587">
        <f t="shared" si="75"/>
        <v>0</v>
      </c>
    </row>
    <row r="898" spans="2:16">
      <c r="B898" s="587" t="s">
        <v>868</v>
      </c>
      <c r="C898" s="587" t="s">
        <v>869</v>
      </c>
      <c r="D898" s="587" t="s">
        <v>872</v>
      </c>
      <c r="E898" s="587"/>
      <c r="F898" s="587" t="str">
        <f t="shared" si="77"/>
        <v>Vélo personnel (y compris vélo à assistance électrique)</v>
      </c>
      <c r="G898" s="587">
        <f t="shared" si="78"/>
        <v>7</v>
      </c>
      <c r="H898" s="587"/>
      <c r="I898" s="587">
        <v>10</v>
      </c>
      <c r="J898" s="587">
        <f t="shared" si="79"/>
        <v>0</v>
      </c>
      <c r="K898" s="587"/>
      <c r="L898" s="587"/>
      <c r="M898" s="587">
        <f t="shared" si="76"/>
        <v>7</v>
      </c>
      <c r="N898" s="587">
        <f t="shared" si="76"/>
        <v>0</v>
      </c>
      <c r="O898" s="587">
        <f t="shared" si="76"/>
        <v>0</v>
      </c>
      <c r="P898" s="587">
        <f t="shared" si="75"/>
        <v>0</v>
      </c>
    </row>
    <row r="899" spans="2:16">
      <c r="B899" s="587" t="s">
        <v>868</v>
      </c>
      <c r="C899" s="587" t="s">
        <v>869</v>
      </c>
      <c r="D899" s="587" t="s">
        <v>871</v>
      </c>
      <c r="E899" s="587"/>
      <c r="F899" s="587" t="str">
        <f t="shared" si="77"/>
        <v>Marche à pied (exclusivement sur tout le trajet)</v>
      </c>
      <c r="G899" s="587">
        <f t="shared" si="78"/>
        <v>7</v>
      </c>
      <c r="H899" s="587"/>
      <c r="I899" s="587">
        <v>10</v>
      </c>
      <c r="J899" s="587">
        <f t="shared" si="79"/>
        <v>0</v>
      </c>
      <c r="K899" s="587"/>
      <c r="L899" s="587"/>
      <c r="M899" s="587">
        <f t="shared" si="76"/>
        <v>7</v>
      </c>
      <c r="N899" s="587">
        <f t="shared" si="76"/>
        <v>0</v>
      </c>
      <c r="O899" s="587">
        <f t="shared" si="76"/>
        <v>0</v>
      </c>
      <c r="P899" s="587">
        <f t="shared" si="75"/>
        <v>0</v>
      </c>
    </row>
    <row r="900" spans="2:16">
      <c r="B900" s="587" t="s">
        <v>868</v>
      </c>
      <c r="C900" s="587" t="s">
        <v>869</v>
      </c>
      <c r="D900" s="587" t="s">
        <v>871</v>
      </c>
      <c r="E900" s="587"/>
      <c r="F900" s="587" t="str">
        <f t="shared" si="77"/>
        <v>Marche à pied (exclusivement sur tout le trajet)</v>
      </c>
      <c r="G900" s="587">
        <f t="shared" si="78"/>
        <v>7</v>
      </c>
      <c r="H900" s="587"/>
      <c r="I900" s="587">
        <v>13</v>
      </c>
      <c r="J900" s="587">
        <f t="shared" si="79"/>
        <v>0</v>
      </c>
      <c r="K900" s="587"/>
      <c r="L900" s="587"/>
      <c r="M900" s="587">
        <f t="shared" si="76"/>
        <v>7</v>
      </c>
      <c r="N900" s="587">
        <f t="shared" si="76"/>
        <v>0</v>
      </c>
      <c r="O900" s="587">
        <f t="shared" si="76"/>
        <v>0</v>
      </c>
      <c r="P900" s="587">
        <f t="shared" si="75"/>
        <v>0</v>
      </c>
    </row>
    <row r="901" spans="2:16">
      <c r="B901" s="587" t="s">
        <v>868</v>
      </c>
      <c r="C901" s="587" t="s">
        <v>869</v>
      </c>
      <c r="D901" s="587" t="s">
        <v>871</v>
      </c>
      <c r="E901" s="587"/>
      <c r="F901" s="587" t="str">
        <f t="shared" si="77"/>
        <v>Marche à pied (exclusivement sur tout le trajet)</v>
      </c>
      <c r="G901" s="587">
        <f t="shared" si="78"/>
        <v>7</v>
      </c>
      <c r="H901" s="587"/>
      <c r="I901" s="587">
        <v>5</v>
      </c>
      <c r="J901" s="587">
        <f t="shared" si="79"/>
        <v>0</v>
      </c>
      <c r="K901" s="587"/>
      <c r="L901" s="587"/>
      <c r="M901" s="587">
        <f t="shared" si="76"/>
        <v>7</v>
      </c>
      <c r="N901" s="587">
        <f t="shared" si="76"/>
        <v>0</v>
      </c>
      <c r="O901" s="587">
        <f t="shared" si="76"/>
        <v>0</v>
      </c>
      <c r="P901" s="587">
        <f t="shared" si="75"/>
        <v>0</v>
      </c>
    </row>
    <row r="902" spans="2:16">
      <c r="B902" s="587" t="s">
        <v>868</v>
      </c>
      <c r="C902" s="587" t="s">
        <v>869</v>
      </c>
      <c r="D902" s="587" t="s">
        <v>877</v>
      </c>
      <c r="E902" s="587"/>
      <c r="F902" s="587" t="str">
        <f t="shared" si="77"/>
        <v>Vélo’v</v>
      </c>
      <c r="G902" s="587">
        <f t="shared" si="78"/>
        <v>7</v>
      </c>
      <c r="H902" s="587"/>
      <c r="I902" s="587">
        <v>15</v>
      </c>
      <c r="J902" s="587">
        <f t="shared" si="79"/>
        <v>0</v>
      </c>
      <c r="K902" s="587"/>
      <c r="L902" s="587"/>
      <c r="M902" s="587">
        <f t="shared" si="76"/>
        <v>7</v>
      </c>
      <c r="N902" s="587">
        <f t="shared" si="76"/>
        <v>0</v>
      </c>
      <c r="O902" s="587">
        <f t="shared" si="76"/>
        <v>0</v>
      </c>
      <c r="P902" s="587">
        <f t="shared" si="75"/>
        <v>0</v>
      </c>
    </row>
    <row r="903" spans="2:16">
      <c r="B903" s="587" t="s">
        <v>868</v>
      </c>
      <c r="C903" s="587" t="s">
        <v>875</v>
      </c>
      <c r="D903" s="587" t="s">
        <v>873</v>
      </c>
      <c r="E903" s="587"/>
      <c r="F903" s="587" t="str">
        <f t="shared" si="77"/>
        <v>Tramway</v>
      </c>
      <c r="G903" s="587">
        <f t="shared" si="78"/>
        <v>1</v>
      </c>
      <c r="H903" s="587"/>
      <c r="I903" s="587">
        <v>30</v>
      </c>
      <c r="J903" s="587">
        <f t="shared" si="79"/>
        <v>4.8833333333333326E-2</v>
      </c>
      <c r="K903" s="587"/>
      <c r="L903" s="587"/>
      <c r="M903" s="587">
        <f t="shared" si="76"/>
        <v>0</v>
      </c>
      <c r="N903" s="587">
        <f t="shared" si="76"/>
        <v>1</v>
      </c>
      <c r="O903" s="587">
        <f t="shared" si="76"/>
        <v>0</v>
      </c>
      <c r="P903" s="587">
        <f t="shared" si="75"/>
        <v>0</v>
      </c>
    </row>
    <row r="904" spans="2:16">
      <c r="B904" s="587" t="s">
        <v>868</v>
      </c>
      <c r="C904" s="587" t="s">
        <v>869</v>
      </c>
      <c r="D904" s="587"/>
      <c r="E904" s="587" t="s">
        <v>870</v>
      </c>
      <c r="F904" s="587" t="str">
        <f t="shared" si="77"/>
        <v>Métro</v>
      </c>
      <c r="G904" s="587">
        <f t="shared" si="78"/>
        <v>1</v>
      </c>
      <c r="H904" s="587"/>
      <c r="I904" s="587">
        <v>35</v>
      </c>
      <c r="J904" s="587">
        <f t="shared" si="79"/>
        <v>4.8833333333333326E-2</v>
      </c>
      <c r="K904" s="587"/>
      <c r="L904" s="587"/>
      <c r="M904" s="587">
        <f t="shared" si="76"/>
        <v>1</v>
      </c>
      <c r="N904" s="587">
        <f t="shared" si="76"/>
        <v>0</v>
      </c>
      <c r="O904" s="587">
        <f t="shared" si="76"/>
        <v>0</v>
      </c>
      <c r="P904" s="587">
        <f t="shared" si="75"/>
        <v>0</v>
      </c>
    </row>
    <row r="905" spans="2:16">
      <c r="B905" s="587" t="s">
        <v>868</v>
      </c>
      <c r="C905" s="587" t="s">
        <v>882</v>
      </c>
      <c r="D905" s="587"/>
      <c r="E905" s="587" t="s">
        <v>879</v>
      </c>
      <c r="F905" s="587" t="str">
        <f t="shared" si="77"/>
        <v>Voiture (seul(e))</v>
      </c>
      <c r="G905" s="587">
        <f t="shared" si="78"/>
        <v>3</v>
      </c>
      <c r="H905" s="587"/>
      <c r="I905" s="587">
        <v>90</v>
      </c>
      <c r="J905" s="587">
        <f t="shared" si="79"/>
        <v>2.7600000000000002</v>
      </c>
      <c r="K905" s="587"/>
      <c r="L905" s="587"/>
      <c r="M905" s="587">
        <f t="shared" si="76"/>
        <v>0</v>
      </c>
      <c r="N905" s="587">
        <f t="shared" si="76"/>
        <v>0</v>
      </c>
      <c r="O905" s="587">
        <f t="shared" si="76"/>
        <v>3</v>
      </c>
      <c r="P905" s="587">
        <f t="shared" si="75"/>
        <v>0</v>
      </c>
    </row>
    <row r="906" spans="2:16">
      <c r="B906" s="587" t="s">
        <v>868</v>
      </c>
      <c r="C906" s="587" t="s">
        <v>869</v>
      </c>
      <c r="D906" s="587" t="s">
        <v>871</v>
      </c>
      <c r="E906" s="587"/>
      <c r="F906" s="587" t="str">
        <f t="shared" si="77"/>
        <v>Marche à pied (exclusivement sur tout le trajet)</v>
      </c>
      <c r="G906" s="587">
        <f t="shared" si="78"/>
        <v>7</v>
      </c>
      <c r="H906" s="587"/>
      <c r="I906" s="587">
        <v>7</v>
      </c>
      <c r="J906" s="587">
        <f t="shared" si="79"/>
        <v>0</v>
      </c>
      <c r="K906" s="587"/>
      <c r="L906" s="587"/>
      <c r="M906" s="587">
        <f t="shared" si="76"/>
        <v>7</v>
      </c>
      <c r="N906" s="587">
        <f t="shared" si="76"/>
        <v>0</v>
      </c>
      <c r="O906" s="587">
        <f t="shared" si="76"/>
        <v>0</v>
      </c>
      <c r="P906" s="587">
        <f t="shared" si="75"/>
        <v>0</v>
      </c>
    </row>
    <row r="907" spans="2:16">
      <c r="B907" s="587" t="s">
        <v>868</v>
      </c>
      <c r="C907" s="587" t="s">
        <v>869</v>
      </c>
      <c r="D907" s="587" t="s">
        <v>871</v>
      </c>
      <c r="E907" s="587"/>
      <c r="F907" s="587" t="str">
        <f t="shared" si="77"/>
        <v>Marche à pied (exclusivement sur tout le trajet)</v>
      </c>
      <c r="G907" s="587">
        <f t="shared" si="78"/>
        <v>7</v>
      </c>
      <c r="H907" s="587"/>
      <c r="I907" s="587">
        <v>12</v>
      </c>
      <c r="J907" s="587">
        <f t="shared" si="79"/>
        <v>0</v>
      </c>
      <c r="K907" s="587"/>
      <c r="L907" s="587"/>
      <c r="M907" s="587">
        <f t="shared" si="76"/>
        <v>7</v>
      </c>
      <c r="N907" s="587">
        <f t="shared" si="76"/>
        <v>0</v>
      </c>
      <c r="O907" s="587">
        <f t="shared" si="76"/>
        <v>0</v>
      </c>
      <c r="P907" s="587">
        <f t="shared" si="75"/>
        <v>0</v>
      </c>
    </row>
    <row r="908" spans="2:16">
      <c r="B908" s="587" t="s">
        <v>868</v>
      </c>
      <c r="C908" s="587" t="s">
        <v>882</v>
      </c>
      <c r="D908" s="587" t="s">
        <v>872</v>
      </c>
      <c r="E908" s="587"/>
      <c r="F908" s="587" t="str">
        <f t="shared" si="77"/>
        <v>Vélo personnel (y compris vélo à assistance électrique)</v>
      </c>
      <c r="G908" s="587">
        <f t="shared" si="78"/>
        <v>7</v>
      </c>
      <c r="H908" s="587"/>
      <c r="I908" s="587">
        <v>15</v>
      </c>
      <c r="J908" s="587">
        <f t="shared" si="79"/>
        <v>0</v>
      </c>
      <c r="K908" s="587"/>
      <c r="L908" s="587"/>
      <c r="M908" s="587">
        <f t="shared" si="76"/>
        <v>0</v>
      </c>
      <c r="N908" s="587">
        <f t="shared" si="76"/>
        <v>0</v>
      </c>
      <c r="O908" s="587">
        <f t="shared" si="76"/>
        <v>7</v>
      </c>
      <c r="P908" s="587">
        <f t="shared" si="75"/>
        <v>0</v>
      </c>
    </row>
    <row r="909" spans="2:16">
      <c r="B909" s="587" t="s">
        <v>868</v>
      </c>
      <c r="C909" s="587" t="s">
        <v>869</v>
      </c>
      <c r="D909" s="587" t="s">
        <v>871</v>
      </c>
      <c r="E909" s="587"/>
      <c r="F909" s="587" t="str">
        <f t="shared" si="77"/>
        <v>Marche à pied (exclusivement sur tout le trajet)</v>
      </c>
      <c r="G909" s="587">
        <f t="shared" si="78"/>
        <v>7</v>
      </c>
      <c r="H909" s="587"/>
      <c r="I909" s="587">
        <v>5</v>
      </c>
      <c r="J909" s="587">
        <f t="shared" si="79"/>
        <v>0</v>
      </c>
      <c r="K909" s="587"/>
      <c r="L909" s="587"/>
      <c r="M909" s="587">
        <f t="shared" si="76"/>
        <v>7</v>
      </c>
      <c r="N909" s="587">
        <f t="shared" si="76"/>
        <v>0</v>
      </c>
      <c r="O909" s="587">
        <f t="shared" si="76"/>
        <v>0</v>
      </c>
      <c r="P909" s="587">
        <f t="shared" si="75"/>
        <v>0</v>
      </c>
    </row>
    <row r="910" spans="2:16">
      <c r="B910" s="587" t="s">
        <v>868</v>
      </c>
      <c r="C910" s="587" t="s">
        <v>869</v>
      </c>
      <c r="D910" s="587" t="s">
        <v>872</v>
      </c>
      <c r="E910" s="587"/>
      <c r="F910" s="587" t="str">
        <f t="shared" si="77"/>
        <v>Vélo personnel (y compris vélo à assistance électrique)</v>
      </c>
      <c r="G910" s="587">
        <f t="shared" si="78"/>
        <v>7</v>
      </c>
      <c r="H910" s="587"/>
      <c r="I910" s="587">
        <v>8</v>
      </c>
      <c r="J910" s="587">
        <f t="shared" si="79"/>
        <v>0</v>
      </c>
      <c r="K910" s="587"/>
      <c r="L910" s="587"/>
      <c r="M910" s="587">
        <f t="shared" si="76"/>
        <v>7</v>
      </c>
      <c r="N910" s="587">
        <f t="shared" si="76"/>
        <v>0</v>
      </c>
      <c r="O910" s="587">
        <f t="shared" si="76"/>
        <v>0</v>
      </c>
      <c r="P910" s="587">
        <f t="shared" si="75"/>
        <v>0</v>
      </c>
    </row>
    <row r="911" spans="2:16">
      <c r="B911" s="587" t="s">
        <v>868</v>
      </c>
      <c r="C911" s="587" t="s">
        <v>869</v>
      </c>
      <c r="D911" s="587" t="s">
        <v>871</v>
      </c>
      <c r="E911" s="587"/>
      <c r="F911" s="587" t="str">
        <f t="shared" si="77"/>
        <v>Marche à pied (exclusivement sur tout le trajet)</v>
      </c>
      <c r="G911" s="587">
        <f t="shared" si="78"/>
        <v>7</v>
      </c>
      <c r="H911" s="587"/>
      <c r="I911" s="587">
        <v>10</v>
      </c>
      <c r="J911" s="587">
        <f t="shared" si="79"/>
        <v>0</v>
      </c>
      <c r="K911" s="587"/>
      <c r="L911" s="587"/>
      <c r="M911" s="587">
        <f t="shared" si="76"/>
        <v>7</v>
      </c>
      <c r="N911" s="587">
        <f t="shared" si="76"/>
        <v>0</v>
      </c>
      <c r="O911" s="587">
        <f t="shared" si="76"/>
        <v>0</v>
      </c>
      <c r="P911" s="587">
        <f t="shared" si="75"/>
        <v>0</v>
      </c>
    </row>
    <row r="912" spans="2:16">
      <c r="B912" s="587" t="s">
        <v>868</v>
      </c>
      <c r="C912" s="587" t="s">
        <v>882</v>
      </c>
      <c r="D912" s="587" t="s">
        <v>879</v>
      </c>
      <c r="E912" s="587"/>
      <c r="F912" s="587" t="str">
        <f t="shared" si="77"/>
        <v>Voiture (seul(e))</v>
      </c>
      <c r="G912" s="587">
        <f t="shared" si="78"/>
        <v>3</v>
      </c>
      <c r="H912" s="587"/>
      <c r="I912" s="587">
        <v>10</v>
      </c>
      <c r="J912" s="587">
        <f t="shared" si="79"/>
        <v>2.7600000000000002</v>
      </c>
      <c r="K912" s="587"/>
      <c r="L912" s="587"/>
      <c r="M912" s="587">
        <f t="shared" si="76"/>
        <v>0</v>
      </c>
      <c r="N912" s="587">
        <f t="shared" si="76"/>
        <v>0</v>
      </c>
      <c r="O912" s="587">
        <f t="shared" si="76"/>
        <v>3</v>
      </c>
      <c r="P912" s="587">
        <f t="shared" si="75"/>
        <v>0</v>
      </c>
    </row>
    <row r="913" spans="2:16">
      <c r="B913" s="587" t="s">
        <v>868</v>
      </c>
      <c r="C913" s="587" t="s">
        <v>869</v>
      </c>
      <c r="D913" s="587" t="s">
        <v>876</v>
      </c>
      <c r="E913" s="587"/>
      <c r="F913" s="587" t="str">
        <f t="shared" si="77"/>
        <v>Trottinette, roller, skateboard,...</v>
      </c>
      <c r="G913" s="587">
        <f t="shared" si="78"/>
        <v>7</v>
      </c>
      <c r="H913" s="587"/>
      <c r="I913" s="587">
        <v>7</v>
      </c>
      <c r="J913" s="587">
        <f t="shared" si="79"/>
        <v>0</v>
      </c>
      <c r="K913" s="587"/>
      <c r="L913" s="587"/>
      <c r="M913" s="587">
        <f t="shared" si="76"/>
        <v>7</v>
      </c>
      <c r="N913" s="587">
        <f t="shared" si="76"/>
        <v>0</v>
      </c>
      <c r="O913" s="587">
        <f t="shared" si="76"/>
        <v>0</v>
      </c>
      <c r="P913" s="587">
        <f t="shared" si="75"/>
        <v>0</v>
      </c>
    </row>
    <row r="914" spans="2:16">
      <c r="B914" s="587" t="s">
        <v>868</v>
      </c>
      <c r="C914" s="587" t="s">
        <v>869</v>
      </c>
      <c r="D914" s="587" t="s">
        <v>871</v>
      </c>
      <c r="E914" s="587"/>
      <c r="F914" s="587" t="str">
        <f t="shared" si="77"/>
        <v>Marche à pied (exclusivement sur tout le trajet)</v>
      </c>
      <c r="G914" s="587">
        <f t="shared" si="78"/>
        <v>7</v>
      </c>
      <c r="H914" s="587"/>
      <c r="I914" s="587">
        <v>10</v>
      </c>
      <c r="J914" s="587">
        <f t="shared" si="79"/>
        <v>0</v>
      </c>
      <c r="K914" s="587"/>
      <c r="L914" s="587"/>
      <c r="M914" s="587">
        <f t="shared" si="76"/>
        <v>7</v>
      </c>
      <c r="N914" s="587">
        <f t="shared" si="76"/>
        <v>0</v>
      </c>
      <c r="O914" s="587">
        <f t="shared" si="76"/>
        <v>0</v>
      </c>
      <c r="P914" s="587">
        <f t="shared" si="75"/>
        <v>0</v>
      </c>
    </row>
    <row r="915" spans="2:16">
      <c r="B915" s="587" t="s">
        <v>868</v>
      </c>
      <c r="C915" s="587" t="s">
        <v>869</v>
      </c>
      <c r="D915" s="587" t="s">
        <v>872</v>
      </c>
      <c r="E915" s="587"/>
      <c r="F915" s="587" t="str">
        <f t="shared" si="77"/>
        <v>Vélo personnel (y compris vélo à assistance électrique)</v>
      </c>
      <c r="G915" s="587">
        <f t="shared" si="78"/>
        <v>7</v>
      </c>
      <c r="H915" s="587"/>
      <c r="I915" s="587">
        <v>10</v>
      </c>
      <c r="J915" s="587">
        <f t="shared" si="79"/>
        <v>0</v>
      </c>
      <c r="K915" s="587"/>
      <c r="L915" s="587"/>
      <c r="M915" s="587">
        <f t="shared" si="76"/>
        <v>7</v>
      </c>
      <c r="N915" s="587">
        <f t="shared" si="76"/>
        <v>0</v>
      </c>
      <c r="O915" s="587">
        <f t="shared" si="76"/>
        <v>0</v>
      </c>
      <c r="P915" s="587">
        <f t="shared" si="75"/>
        <v>0</v>
      </c>
    </row>
    <row r="916" spans="2:16">
      <c r="B916" s="587" t="s">
        <v>868</v>
      </c>
      <c r="C916" s="587" t="s">
        <v>869</v>
      </c>
      <c r="D916" s="587" t="s">
        <v>872</v>
      </c>
      <c r="E916" s="587"/>
      <c r="F916" s="587" t="str">
        <f t="shared" si="77"/>
        <v>Vélo personnel (y compris vélo à assistance électrique)</v>
      </c>
      <c r="G916" s="587">
        <f t="shared" si="78"/>
        <v>7</v>
      </c>
      <c r="H916" s="587"/>
      <c r="I916" s="587">
        <v>5</v>
      </c>
      <c r="J916" s="587">
        <f t="shared" si="79"/>
        <v>0</v>
      </c>
      <c r="K916" s="587"/>
      <c r="L916" s="587"/>
      <c r="M916" s="587">
        <f t="shared" si="76"/>
        <v>7</v>
      </c>
      <c r="N916" s="587">
        <f t="shared" si="76"/>
        <v>0</v>
      </c>
      <c r="O916" s="587">
        <f t="shared" si="76"/>
        <v>0</v>
      </c>
      <c r="P916" s="587">
        <f t="shared" si="75"/>
        <v>0</v>
      </c>
    </row>
    <row r="917" spans="2:16">
      <c r="B917" s="587" t="s">
        <v>868</v>
      </c>
      <c r="C917" s="587" t="s">
        <v>869</v>
      </c>
      <c r="D917" s="587" t="s">
        <v>871</v>
      </c>
      <c r="E917" s="587"/>
      <c r="F917" s="587" t="str">
        <f t="shared" si="77"/>
        <v>Marche à pied (exclusivement sur tout le trajet)</v>
      </c>
      <c r="G917" s="587">
        <f t="shared" si="78"/>
        <v>7</v>
      </c>
      <c r="H917" s="587"/>
      <c r="I917" s="587">
        <v>10</v>
      </c>
      <c r="J917" s="587">
        <f t="shared" si="79"/>
        <v>0</v>
      </c>
      <c r="K917" s="587"/>
      <c r="L917" s="587"/>
      <c r="M917" s="587">
        <f t="shared" si="76"/>
        <v>7</v>
      </c>
      <c r="N917" s="587">
        <f t="shared" si="76"/>
        <v>0</v>
      </c>
      <c r="O917" s="587">
        <f t="shared" si="76"/>
        <v>0</v>
      </c>
      <c r="P917" s="587">
        <f t="shared" si="75"/>
        <v>0</v>
      </c>
    </row>
    <row r="918" spans="2:16">
      <c r="B918" s="587" t="s">
        <v>868</v>
      </c>
      <c r="C918" s="587" t="s">
        <v>875</v>
      </c>
      <c r="D918" s="587" t="s">
        <v>871</v>
      </c>
      <c r="E918" s="587"/>
      <c r="F918" s="587" t="str">
        <f t="shared" si="77"/>
        <v>Marche à pied (exclusivement sur tout le trajet)</v>
      </c>
      <c r="G918" s="587">
        <f t="shared" si="78"/>
        <v>7</v>
      </c>
      <c r="H918" s="587"/>
      <c r="I918" s="587">
        <v>30</v>
      </c>
      <c r="J918" s="587">
        <f t="shared" si="79"/>
        <v>0</v>
      </c>
      <c r="K918" s="587"/>
      <c r="L918" s="587"/>
      <c r="M918" s="587">
        <f t="shared" si="76"/>
        <v>0</v>
      </c>
      <c r="N918" s="587">
        <f t="shared" si="76"/>
        <v>7</v>
      </c>
      <c r="O918" s="587">
        <f t="shared" si="76"/>
        <v>0</v>
      </c>
      <c r="P918" s="587">
        <f t="shared" si="75"/>
        <v>0</v>
      </c>
    </row>
    <row r="919" spans="2:16">
      <c r="B919" s="587" t="s">
        <v>868</v>
      </c>
      <c r="C919" s="587" t="s">
        <v>869</v>
      </c>
      <c r="D919" s="587"/>
      <c r="E919" s="587" t="s">
        <v>878</v>
      </c>
      <c r="F919" s="587" t="str">
        <f t="shared" si="77"/>
        <v>Marche à pied au-delà de 5 minutes</v>
      </c>
      <c r="G919" s="587">
        <f t="shared" si="78"/>
        <v>7</v>
      </c>
      <c r="H919" s="587"/>
      <c r="I919" s="587">
        <v>40</v>
      </c>
      <c r="J919" s="587">
        <f t="shared" si="79"/>
        <v>0</v>
      </c>
      <c r="K919" s="587"/>
      <c r="L919" s="587"/>
      <c r="M919" s="587">
        <f t="shared" si="76"/>
        <v>7</v>
      </c>
      <c r="N919" s="587">
        <f t="shared" si="76"/>
        <v>0</v>
      </c>
      <c r="O919" s="587">
        <f t="shared" si="76"/>
        <v>0</v>
      </c>
      <c r="P919" s="587">
        <f t="shared" si="75"/>
        <v>0</v>
      </c>
    </row>
    <row r="920" spans="2:16">
      <c r="B920" s="587" t="s">
        <v>868</v>
      </c>
      <c r="C920" s="587" t="s">
        <v>869</v>
      </c>
      <c r="D920" s="587" t="s">
        <v>872</v>
      </c>
      <c r="E920" s="587"/>
      <c r="F920" s="587" t="str">
        <f t="shared" si="77"/>
        <v>Vélo personnel (y compris vélo à assistance électrique)</v>
      </c>
      <c r="G920" s="587">
        <f t="shared" si="78"/>
        <v>7</v>
      </c>
      <c r="H920" s="587"/>
      <c r="I920" s="587">
        <v>7</v>
      </c>
      <c r="J920" s="587">
        <f t="shared" si="79"/>
        <v>0</v>
      </c>
      <c r="K920" s="587"/>
      <c r="L920" s="587"/>
      <c r="M920" s="587">
        <f t="shared" si="76"/>
        <v>7</v>
      </c>
      <c r="N920" s="587">
        <f t="shared" si="76"/>
        <v>0</v>
      </c>
      <c r="O920" s="587">
        <f t="shared" si="76"/>
        <v>0</v>
      </c>
      <c r="P920" s="587">
        <f t="shared" si="75"/>
        <v>0</v>
      </c>
    </row>
    <row r="921" spans="2:16">
      <c r="B921" s="587" t="s">
        <v>868</v>
      </c>
      <c r="C921" s="587" t="s">
        <v>882</v>
      </c>
      <c r="D921" s="587" t="s">
        <v>879</v>
      </c>
      <c r="E921" s="587"/>
      <c r="F921" s="587" t="str">
        <f t="shared" si="77"/>
        <v>Voiture (seul(e))</v>
      </c>
      <c r="G921" s="587">
        <f t="shared" si="78"/>
        <v>3</v>
      </c>
      <c r="H921" s="587"/>
      <c r="I921" s="587">
        <v>60</v>
      </c>
      <c r="J921" s="587">
        <f t="shared" si="79"/>
        <v>2.7600000000000002</v>
      </c>
      <c r="K921" s="587"/>
      <c r="L921" s="587"/>
      <c r="M921" s="587">
        <f t="shared" si="76"/>
        <v>0</v>
      </c>
      <c r="N921" s="587">
        <f t="shared" si="76"/>
        <v>0</v>
      </c>
      <c r="O921" s="587">
        <f t="shared" si="76"/>
        <v>3</v>
      </c>
      <c r="P921" s="587">
        <f t="shared" si="76"/>
        <v>0</v>
      </c>
    </row>
    <row r="922" spans="2:16">
      <c r="B922" s="587" t="s">
        <v>868</v>
      </c>
      <c r="C922" s="587" t="s">
        <v>869</v>
      </c>
      <c r="D922" s="587"/>
      <c r="E922" s="587" t="s">
        <v>872</v>
      </c>
      <c r="F922" s="587" t="str">
        <f t="shared" si="77"/>
        <v>Vélo personnel (y compris vélo à assistance électrique)</v>
      </c>
      <c r="G922" s="587">
        <f t="shared" si="78"/>
        <v>7</v>
      </c>
      <c r="H922" s="587"/>
      <c r="I922" s="587">
        <v>50</v>
      </c>
      <c r="J922" s="587">
        <f t="shared" si="79"/>
        <v>0</v>
      </c>
      <c r="K922" s="587"/>
      <c r="L922" s="587"/>
      <c r="M922" s="587">
        <f t="shared" ref="M922:P985" si="80">IF($C922=M$27,$G922,0)</f>
        <v>7</v>
      </c>
      <c r="N922" s="587">
        <f t="shared" si="80"/>
        <v>0</v>
      </c>
      <c r="O922" s="587">
        <f t="shared" si="80"/>
        <v>0</v>
      </c>
      <c r="P922" s="587">
        <f t="shared" si="80"/>
        <v>0</v>
      </c>
    </row>
    <row r="923" spans="2:16">
      <c r="B923" s="587" t="s">
        <v>868</v>
      </c>
      <c r="C923" s="587" t="s">
        <v>875</v>
      </c>
      <c r="D923" s="587"/>
      <c r="E923" s="587" t="s">
        <v>877</v>
      </c>
      <c r="F923" s="587" t="str">
        <f t="shared" si="77"/>
        <v>Vélo’v</v>
      </c>
      <c r="G923" s="587">
        <f t="shared" si="78"/>
        <v>7</v>
      </c>
      <c r="H923" s="587"/>
      <c r="I923" s="587">
        <v>40</v>
      </c>
      <c r="J923" s="587">
        <f t="shared" si="79"/>
        <v>0</v>
      </c>
      <c r="K923" s="587"/>
      <c r="L923" s="587"/>
      <c r="M923" s="587">
        <f t="shared" si="80"/>
        <v>0</v>
      </c>
      <c r="N923" s="587">
        <f t="shared" si="80"/>
        <v>7</v>
      </c>
      <c r="O923" s="587">
        <f t="shared" si="80"/>
        <v>0</v>
      </c>
      <c r="P923" s="587">
        <f t="shared" si="80"/>
        <v>0</v>
      </c>
    </row>
    <row r="924" spans="2:16">
      <c r="B924" s="587" t="s">
        <v>868</v>
      </c>
      <c r="C924" s="587" t="s">
        <v>869</v>
      </c>
      <c r="D924" s="587" t="s">
        <v>872</v>
      </c>
      <c r="E924" s="587"/>
      <c r="F924" s="587" t="str">
        <f t="shared" si="77"/>
        <v>Vélo personnel (y compris vélo à assistance électrique)</v>
      </c>
      <c r="G924" s="587">
        <f t="shared" si="78"/>
        <v>7</v>
      </c>
      <c r="H924" s="587"/>
      <c r="I924" s="587">
        <v>10</v>
      </c>
      <c r="J924" s="587">
        <f t="shared" si="79"/>
        <v>0</v>
      </c>
      <c r="K924" s="587"/>
      <c r="L924" s="587"/>
      <c r="M924" s="587">
        <f t="shared" si="80"/>
        <v>7</v>
      </c>
      <c r="N924" s="587">
        <f t="shared" si="80"/>
        <v>0</v>
      </c>
      <c r="O924" s="587">
        <f t="shared" si="80"/>
        <v>0</v>
      </c>
      <c r="P924" s="587">
        <f t="shared" si="80"/>
        <v>0</v>
      </c>
    </row>
    <row r="925" spans="2:16">
      <c r="B925" s="587" t="s">
        <v>868</v>
      </c>
      <c r="C925" s="587" t="s">
        <v>869</v>
      </c>
      <c r="D925" s="587" t="s">
        <v>872</v>
      </c>
      <c r="E925" s="587"/>
      <c r="F925" s="587" t="str">
        <f t="shared" si="77"/>
        <v>Vélo personnel (y compris vélo à assistance électrique)</v>
      </c>
      <c r="G925" s="587">
        <f t="shared" si="78"/>
        <v>7</v>
      </c>
      <c r="H925" s="587"/>
      <c r="I925" s="587">
        <v>8</v>
      </c>
      <c r="J925" s="587">
        <f t="shared" si="79"/>
        <v>0</v>
      </c>
      <c r="K925" s="587"/>
      <c r="L925" s="587"/>
      <c r="M925" s="587">
        <f t="shared" si="80"/>
        <v>7</v>
      </c>
      <c r="N925" s="587">
        <f t="shared" si="80"/>
        <v>0</v>
      </c>
      <c r="O925" s="587">
        <f t="shared" si="80"/>
        <v>0</v>
      </c>
      <c r="P925" s="587">
        <f t="shared" si="80"/>
        <v>0</v>
      </c>
    </row>
    <row r="926" spans="2:16">
      <c r="B926" s="587" t="s">
        <v>868</v>
      </c>
      <c r="C926" s="587" t="s">
        <v>869</v>
      </c>
      <c r="D926" s="587" t="s">
        <v>871</v>
      </c>
      <c r="E926" s="587"/>
      <c r="F926" s="587" t="str">
        <f t="shared" si="77"/>
        <v>Marche à pied (exclusivement sur tout le trajet)</v>
      </c>
      <c r="G926" s="587">
        <f t="shared" si="78"/>
        <v>7</v>
      </c>
      <c r="H926" s="587"/>
      <c r="I926" s="587">
        <v>2</v>
      </c>
      <c r="J926" s="587">
        <f t="shared" si="79"/>
        <v>0</v>
      </c>
      <c r="K926" s="587"/>
      <c r="L926" s="587"/>
      <c r="M926" s="587">
        <f t="shared" si="80"/>
        <v>7</v>
      </c>
      <c r="N926" s="587">
        <f t="shared" si="80"/>
        <v>0</v>
      </c>
      <c r="O926" s="587">
        <f t="shared" si="80"/>
        <v>0</v>
      </c>
      <c r="P926" s="587">
        <f t="shared" si="80"/>
        <v>0</v>
      </c>
    </row>
    <row r="927" spans="2:16">
      <c r="B927" s="587" t="s">
        <v>868</v>
      </c>
      <c r="C927" s="587" t="s">
        <v>869</v>
      </c>
      <c r="D927" s="587" t="s">
        <v>877</v>
      </c>
      <c r="E927" s="587"/>
      <c r="F927" s="587" t="str">
        <f t="shared" si="77"/>
        <v>Vélo’v</v>
      </c>
      <c r="G927" s="587">
        <f t="shared" si="78"/>
        <v>7</v>
      </c>
      <c r="H927" s="587"/>
      <c r="I927" s="587">
        <v>10</v>
      </c>
      <c r="J927" s="587">
        <f t="shared" si="79"/>
        <v>0</v>
      </c>
      <c r="K927" s="587"/>
      <c r="L927" s="587"/>
      <c r="M927" s="587">
        <f t="shared" si="80"/>
        <v>7</v>
      </c>
      <c r="N927" s="587">
        <f t="shared" si="80"/>
        <v>0</v>
      </c>
      <c r="O927" s="587">
        <f t="shared" si="80"/>
        <v>0</v>
      </c>
      <c r="P927" s="587">
        <f t="shared" si="80"/>
        <v>0</v>
      </c>
    </row>
    <row r="928" spans="2:16">
      <c r="B928" s="587" t="s">
        <v>868</v>
      </c>
      <c r="C928" s="587" t="s">
        <v>869</v>
      </c>
      <c r="D928" s="587" t="s">
        <v>871</v>
      </c>
      <c r="E928" s="587"/>
      <c r="F928" s="587" t="str">
        <f t="shared" si="77"/>
        <v>Marche à pied (exclusivement sur tout le trajet)</v>
      </c>
      <c r="G928" s="587">
        <f t="shared" si="78"/>
        <v>7</v>
      </c>
      <c r="H928" s="587"/>
      <c r="I928" s="587">
        <v>10</v>
      </c>
      <c r="J928" s="587">
        <f t="shared" si="79"/>
        <v>0</v>
      </c>
      <c r="K928" s="587"/>
      <c r="L928" s="587"/>
      <c r="M928" s="587">
        <f t="shared" si="80"/>
        <v>7</v>
      </c>
      <c r="N928" s="587">
        <f t="shared" si="80"/>
        <v>0</v>
      </c>
      <c r="O928" s="587">
        <f t="shared" si="80"/>
        <v>0</v>
      </c>
      <c r="P928" s="587">
        <f t="shared" si="80"/>
        <v>0</v>
      </c>
    </row>
    <row r="929" spans="2:16">
      <c r="B929" s="587" t="s">
        <v>868</v>
      </c>
      <c r="C929" s="587" t="s">
        <v>869</v>
      </c>
      <c r="D929" s="587" t="s">
        <v>871</v>
      </c>
      <c r="E929" s="587"/>
      <c r="F929" s="587" t="str">
        <f t="shared" si="77"/>
        <v>Marche à pied (exclusivement sur tout le trajet)</v>
      </c>
      <c r="G929" s="587">
        <f t="shared" si="78"/>
        <v>7</v>
      </c>
      <c r="H929" s="587"/>
      <c r="I929" s="587">
        <v>15</v>
      </c>
      <c r="J929" s="587">
        <f t="shared" si="79"/>
        <v>0</v>
      </c>
      <c r="K929" s="587"/>
      <c r="L929" s="587"/>
      <c r="M929" s="587">
        <f t="shared" si="80"/>
        <v>7</v>
      </c>
      <c r="N929" s="587">
        <f t="shared" si="80"/>
        <v>0</v>
      </c>
      <c r="O929" s="587">
        <f t="shared" si="80"/>
        <v>0</v>
      </c>
      <c r="P929" s="587">
        <f t="shared" si="80"/>
        <v>0</v>
      </c>
    </row>
    <row r="930" spans="2:16">
      <c r="B930" s="587" t="s">
        <v>868</v>
      </c>
      <c r="C930" s="587" t="s">
        <v>869</v>
      </c>
      <c r="D930" s="587"/>
      <c r="E930" s="587" t="s">
        <v>870</v>
      </c>
      <c r="F930" s="587" t="str">
        <f t="shared" si="77"/>
        <v>Métro</v>
      </c>
      <c r="G930" s="587">
        <f t="shared" si="78"/>
        <v>1</v>
      </c>
      <c r="H930" s="587"/>
      <c r="I930" s="587">
        <v>25</v>
      </c>
      <c r="J930" s="587">
        <f t="shared" si="79"/>
        <v>4.8833333333333326E-2</v>
      </c>
      <c r="K930" s="587"/>
      <c r="L930" s="587"/>
      <c r="M930" s="587">
        <f t="shared" si="80"/>
        <v>1</v>
      </c>
      <c r="N930" s="587">
        <f t="shared" si="80"/>
        <v>0</v>
      </c>
      <c r="O930" s="587">
        <f t="shared" si="80"/>
        <v>0</v>
      </c>
      <c r="P930" s="587">
        <f t="shared" si="80"/>
        <v>0</v>
      </c>
    </row>
    <row r="931" spans="2:16">
      <c r="B931" s="587" t="s">
        <v>868</v>
      </c>
      <c r="C931" s="587" t="s">
        <v>869</v>
      </c>
      <c r="D931" s="587" t="s">
        <v>871</v>
      </c>
      <c r="E931" s="587"/>
      <c r="F931" s="587" t="str">
        <f t="shared" si="77"/>
        <v>Marche à pied (exclusivement sur tout le trajet)</v>
      </c>
      <c r="G931" s="587">
        <f t="shared" si="78"/>
        <v>7</v>
      </c>
      <c r="H931" s="587"/>
      <c r="I931" s="587">
        <v>3</v>
      </c>
      <c r="J931" s="587">
        <f t="shared" si="79"/>
        <v>0</v>
      </c>
      <c r="K931" s="587"/>
      <c r="L931" s="587"/>
      <c r="M931" s="587">
        <f t="shared" si="80"/>
        <v>7</v>
      </c>
      <c r="N931" s="587">
        <f t="shared" si="80"/>
        <v>0</v>
      </c>
      <c r="O931" s="587">
        <f t="shared" si="80"/>
        <v>0</v>
      </c>
      <c r="P931" s="587">
        <f t="shared" si="80"/>
        <v>0</v>
      </c>
    </row>
    <row r="932" spans="2:16">
      <c r="B932" s="587" t="s">
        <v>868</v>
      </c>
      <c r="C932" s="587" t="s">
        <v>869</v>
      </c>
      <c r="D932" s="587" t="s">
        <v>871</v>
      </c>
      <c r="E932" s="587"/>
      <c r="F932" s="587" t="str">
        <f t="shared" si="77"/>
        <v>Marche à pied (exclusivement sur tout le trajet)</v>
      </c>
      <c r="G932" s="587">
        <f t="shared" si="78"/>
        <v>7</v>
      </c>
      <c r="H932" s="587"/>
      <c r="I932" s="587">
        <v>7</v>
      </c>
      <c r="J932" s="587">
        <f t="shared" si="79"/>
        <v>0</v>
      </c>
      <c r="K932" s="587"/>
      <c r="L932" s="587"/>
      <c r="M932" s="587">
        <f t="shared" si="80"/>
        <v>7</v>
      </c>
      <c r="N932" s="587">
        <f t="shared" si="80"/>
        <v>0</v>
      </c>
      <c r="O932" s="587">
        <f t="shared" si="80"/>
        <v>0</v>
      </c>
      <c r="P932" s="587">
        <f t="shared" si="80"/>
        <v>0</v>
      </c>
    </row>
    <row r="933" spans="2:16">
      <c r="B933" s="587" t="s">
        <v>868</v>
      </c>
      <c r="C933" s="587" t="s">
        <v>869</v>
      </c>
      <c r="D933" s="587" t="s">
        <v>871</v>
      </c>
      <c r="E933" s="587"/>
      <c r="F933" s="587" t="str">
        <f t="shared" si="77"/>
        <v>Marche à pied (exclusivement sur tout le trajet)</v>
      </c>
      <c r="G933" s="587">
        <f t="shared" si="78"/>
        <v>7</v>
      </c>
      <c r="H933" s="587"/>
      <c r="I933" s="587">
        <v>13</v>
      </c>
      <c r="J933" s="587">
        <f t="shared" si="79"/>
        <v>0</v>
      </c>
      <c r="K933" s="587"/>
      <c r="L933" s="587"/>
      <c r="M933" s="587">
        <f t="shared" si="80"/>
        <v>7</v>
      </c>
      <c r="N933" s="587">
        <f t="shared" si="80"/>
        <v>0</v>
      </c>
      <c r="O933" s="587">
        <f t="shared" si="80"/>
        <v>0</v>
      </c>
      <c r="P933" s="587">
        <f t="shared" si="80"/>
        <v>0</v>
      </c>
    </row>
    <row r="934" spans="2:16">
      <c r="B934" s="587" t="s">
        <v>868</v>
      </c>
      <c r="C934" s="587" t="s">
        <v>869</v>
      </c>
      <c r="D934" s="587" t="s">
        <v>872</v>
      </c>
      <c r="E934" s="587"/>
      <c r="F934" s="587" t="str">
        <f t="shared" si="77"/>
        <v>Vélo personnel (y compris vélo à assistance électrique)</v>
      </c>
      <c r="G934" s="587">
        <f t="shared" si="78"/>
        <v>7</v>
      </c>
      <c r="H934" s="587"/>
      <c r="I934" s="587">
        <v>5</v>
      </c>
      <c r="J934" s="587">
        <f t="shared" si="79"/>
        <v>0</v>
      </c>
      <c r="K934" s="587"/>
      <c r="L934" s="587"/>
      <c r="M934" s="587">
        <f t="shared" si="80"/>
        <v>7</v>
      </c>
      <c r="N934" s="587">
        <f t="shared" si="80"/>
        <v>0</v>
      </c>
      <c r="O934" s="587">
        <f t="shared" si="80"/>
        <v>0</v>
      </c>
      <c r="P934" s="587">
        <f t="shared" si="80"/>
        <v>0</v>
      </c>
    </row>
    <row r="935" spans="2:16">
      <c r="B935" s="587" t="s">
        <v>868</v>
      </c>
      <c r="C935" s="587" t="s">
        <v>869</v>
      </c>
      <c r="D935" s="587" t="s">
        <v>873</v>
      </c>
      <c r="E935" s="587"/>
      <c r="F935" s="587" t="str">
        <f t="shared" si="77"/>
        <v>Tramway</v>
      </c>
      <c r="G935" s="587">
        <f t="shared" si="78"/>
        <v>1</v>
      </c>
      <c r="H935" s="587"/>
      <c r="I935" s="587">
        <v>13</v>
      </c>
      <c r="J935" s="587">
        <f t="shared" si="79"/>
        <v>4.8833333333333326E-2</v>
      </c>
      <c r="K935" s="587"/>
      <c r="L935" s="587"/>
      <c r="M935" s="587">
        <f t="shared" si="80"/>
        <v>1</v>
      </c>
      <c r="N935" s="587">
        <f t="shared" si="80"/>
        <v>0</v>
      </c>
      <c r="O935" s="587">
        <f t="shared" si="80"/>
        <v>0</v>
      </c>
      <c r="P935" s="587">
        <f t="shared" si="80"/>
        <v>0</v>
      </c>
    </row>
    <row r="936" spans="2:16">
      <c r="B936" s="587" t="s">
        <v>868</v>
      </c>
      <c r="C936" s="587" t="s">
        <v>875</v>
      </c>
      <c r="D936" s="587" t="s">
        <v>848</v>
      </c>
      <c r="E936" s="587"/>
      <c r="F936" s="587" t="str">
        <f t="shared" si="77"/>
        <v>Bus</v>
      </c>
      <c r="G936" s="587">
        <f t="shared" si="78"/>
        <v>2</v>
      </c>
      <c r="H936" s="587"/>
      <c r="I936" s="587">
        <v>20</v>
      </c>
      <c r="J936" s="587">
        <f t="shared" si="79"/>
        <v>1.29</v>
      </c>
      <c r="K936" s="587"/>
      <c r="L936" s="587"/>
      <c r="M936" s="587">
        <f t="shared" si="80"/>
        <v>0</v>
      </c>
      <c r="N936" s="587">
        <f t="shared" si="80"/>
        <v>2</v>
      </c>
      <c r="O936" s="587">
        <f t="shared" si="80"/>
        <v>0</v>
      </c>
      <c r="P936" s="587">
        <f t="shared" si="80"/>
        <v>0</v>
      </c>
    </row>
    <row r="937" spans="2:16">
      <c r="B937" s="587" t="s">
        <v>868</v>
      </c>
      <c r="C937" s="587" t="s">
        <v>869</v>
      </c>
      <c r="D937" s="587" t="s">
        <v>871</v>
      </c>
      <c r="E937" s="587"/>
      <c r="F937" s="587" t="str">
        <f t="shared" si="77"/>
        <v>Marche à pied (exclusivement sur tout le trajet)</v>
      </c>
      <c r="G937" s="587">
        <f t="shared" si="78"/>
        <v>7</v>
      </c>
      <c r="H937" s="587"/>
      <c r="I937" s="587">
        <v>10</v>
      </c>
      <c r="J937" s="587">
        <f t="shared" si="79"/>
        <v>0</v>
      </c>
      <c r="K937" s="587"/>
      <c r="L937" s="587"/>
      <c r="M937" s="587">
        <f t="shared" si="80"/>
        <v>7</v>
      </c>
      <c r="N937" s="587">
        <f t="shared" si="80"/>
        <v>0</v>
      </c>
      <c r="O937" s="587">
        <f t="shared" si="80"/>
        <v>0</v>
      </c>
      <c r="P937" s="587">
        <f t="shared" si="80"/>
        <v>0</v>
      </c>
    </row>
    <row r="938" spans="2:16">
      <c r="B938" s="587" t="s">
        <v>868</v>
      </c>
      <c r="C938" s="587" t="s">
        <v>869</v>
      </c>
      <c r="D938" s="587" t="s">
        <v>871</v>
      </c>
      <c r="E938" s="587"/>
      <c r="F938" s="587" t="str">
        <f t="shared" si="77"/>
        <v>Marche à pied (exclusivement sur tout le trajet)</v>
      </c>
      <c r="G938" s="587">
        <f t="shared" si="78"/>
        <v>7</v>
      </c>
      <c r="H938" s="587"/>
      <c r="I938" s="587">
        <v>5</v>
      </c>
      <c r="J938" s="587">
        <f t="shared" si="79"/>
        <v>0</v>
      </c>
      <c r="K938" s="587"/>
      <c r="L938" s="587"/>
      <c r="M938" s="587">
        <f t="shared" si="80"/>
        <v>7</v>
      </c>
      <c r="N938" s="587">
        <f t="shared" si="80"/>
        <v>0</v>
      </c>
      <c r="O938" s="587">
        <f t="shared" si="80"/>
        <v>0</v>
      </c>
      <c r="P938" s="587">
        <f t="shared" si="80"/>
        <v>0</v>
      </c>
    </row>
    <row r="939" spans="2:16">
      <c r="B939" s="587" t="s">
        <v>868</v>
      </c>
      <c r="C939" s="587" t="s">
        <v>875</v>
      </c>
      <c r="D939" s="587" t="s">
        <v>885</v>
      </c>
      <c r="E939" s="587"/>
      <c r="F939" s="587" t="str">
        <f t="shared" si="77"/>
        <v>Covoiturage (conducteur(trice))</v>
      </c>
      <c r="G939" s="587">
        <f t="shared" si="78"/>
        <v>4</v>
      </c>
      <c r="H939" s="587"/>
      <c r="I939" s="587">
        <v>40</v>
      </c>
      <c r="J939" s="587">
        <f t="shared" si="79"/>
        <v>0.69000000000000006</v>
      </c>
      <c r="K939" s="587"/>
      <c r="L939" s="587"/>
      <c r="M939" s="587">
        <f t="shared" si="80"/>
        <v>0</v>
      </c>
      <c r="N939" s="587">
        <f t="shared" si="80"/>
        <v>4</v>
      </c>
      <c r="O939" s="587">
        <f t="shared" si="80"/>
        <v>0</v>
      </c>
      <c r="P939" s="587">
        <f t="shared" si="80"/>
        <v>0</v>
      </c>
    </row>
    <row r="940" spans="2:16">
      <c r="B940" s="587" t="s">
        <v>868</v>
      </c>
      <c r="C940" s="587" t="s">
        <v>35</v>
      </c>
      <c r="D940" s="587" t="s">
        <v>879</v>
      </c>
      <c r="E940" s="587"/>
      <c r="F940" s="587" t="str">
        <f t="shared" si="77"/>
        <v>Voiture (seul(e))</v>
      </c>
      <c r="G940" s="587">
        <f t="shared" si="78"/>
        <v>3</v>
      </c>
      <c r="H940" s="587"/>
      <c r="I940" s="587">
        <v>40</v>
      </c>
      <c r="J940" s="587">
        <f t="shared" si="79"/>
        <v>2.7600000000000002</v>
      </c>
      <c r="K940" s="587"/>
      <c r="L940" s="587"/>
      <c r="M940" s="587">
        <f t="shared" si="80"/>
        <v>0</v>
      </c>
      <c r="N940" s="587">
        <f t="shared" si="80"/>
        <v>0</v>
      </c>
      <c r="O940" s="587">
        <f t="shared" si="80"/>
        <v>0</v>
      </c>
      <c r="P940" s="587">
        <f t="shared" si="80"/>
        <v>3</v>
      </c>
    </row>
    <row r="941" spans="2:16">
      <c r="B941" s="587" t="s">
        <v>868</v>
      </c>
      <c r="C941" s="587" t="s">
        <v>869</v>
      </c>
      <c r="D941" s="587" t="s">
        <v>871</v>
      </c>
      <c r="E941" s="587"/>
      <c r="F941" s="587" t="str">
        <f t="shared" si="77"/>
        <v>Marche à pied (exclusivement sur tout le trajet)</v>
      </c>
      <c r="G941" s="587">
        <f t="shared" si="78"/>
        <v>7</v>
      </c>
      <c r="H941" s="587"/>
      <c r="I941" s="587">
        <v>10</v>
      </c>
      <c r="J941" s="587">
        <f t="shared" si="79"/>
        <v>0</v>
      </c>
      <c r="K941" s="587"/>
      <c r="L941" s="587"/>
      <c r="M941" s="587">
        <f t="shared" si="80"/>
        <v>7</v>
      </c>
      <c r="N941" s="587">
        <f t="shared" si="80"/>
        <v>0</v>
      </c>
      <c r="O941" s="587">
        <f t="shared" si="80"/>
        <v>0</v>
      </c>
      <c r="P941" s="587">
        <f t="shared" si="80"/>
        <v>0</v>
      </c>
    </row>
    <row r="942" spans="2:16">
      <c r="B942" s="587" t="s">
        <v>868</v>
      </c>
      <c r="C942" s="587" t="s">
        <v>869</v>
      </c>
      <c r="D942" s="587" t="s">
        <v>871</v>
      </c>
      <c r="E942" s="587"/>
      <c r="F942" s="587" t="str">
        <f t="shared" si="77"/>
        <v>Marche à pied (exclusivement sur tout le trajet)</v>
      </c>
      <c r="G942" s="587">
        <f t="shared" si="78"/>
        <v>7</v>
      </c>
      <c r="H942" s="587"/>
      <c r="I942" s="587">
        <v>7</v>
      </c>
      <c r="J942" s="587">
        <f t="shared" si="79"/>
        <v>0</v>
      </c>
      <c r="K942" s="587"/>
      <c r="L942" s="587"/>
      <c r="M942" s="587">
        <f t="shared" si="80"/>
        <v>7</v>
      </c>
      <c r="N942" s="587">
        <f t="shared" si="80"/>
        <v>0</v>
      </c>
      <c r="O942" s="587">
        <f t="shared" si="80"/>
        <v>0</v>
      </c>
      <c r="P942" s="587">
        <f t="shared" si="80"/>
        <v>0</v>
      </c>
    </row>
    <row r="943" spans="2:16">
      <c r="B943" s="587" t="s">
        <v>868</v>
      </c>
      <c r="C943" s="587" t="s">
        <v>35</v>
      </c>
      <c r="D943" s="587"/>
      <c r="E943" s="587" t="s">
        <v>872</v>
      </c>
      <c r="F943" s="587" t="str">
        <f t="shared" si="77"/>
        <v>Vélo personnel (y compris vélo à assistance électrique)</v>
      </c>
      <c r="G943" s="587">
        <f t="shared" si="78"/>
        <v>7</v>
      </c>
      <c r="H943" s="587"/>
      <c r="I943" s="587">
        <v>30</v>
      </c>
      <c r="J943" s="587">
        <f t="shared" si="79"/>
        <v>0</v>
      </c>
      <c r="K943" s="587"/>
      <c r="L943" s="587"/>
      <c r="M943" s="587">
        <f t="shared" si="80"/>
        <v>0</v>
      </c>
      <c r="N943" s="587">
        <f t="shared" si="80"/>
        <v>0</v>
      </c>
      <c r="O943" s="587">
        <f t="shared" si="80"/>
        <v>0</v>
      </c>
      <c r="P943" s="587">
        <f t="shared" si="80"/>
        <v>7</v>
      </c>
    </row>
    <row r="944" spans="2:16">
      <c r="B944" s="587" t="s">
        <v>868</v>
      </c>
      <c r="C944" s="587" t="s">
        <v>35</v>
      </c>
      <c r="D944" s="587"/>
      <c r="E944" s="587" t="s">
        <v>883</v>
      </c>
      <c r="F944" s="587" t="str">
        <f t="shared" si="77"/>
        <v>Covoiturage (passager(ère))</v>
      </c>
      <c r="G944" s="587">
        <f t="shared" si="78"/>
        <v>4</v>
      </c>
      <c r="H944" s="587"/>
      <c r="I944" s="587">
        <v>60</v>
      </c>
      <c r="J944" s="587">
        <f t="shared" si="79"/>
        <v>0.69000000000000006</v>
      </c>
      <c r="K944" s="587"/>
      <c r="L944" s="587"/>
      <c r="M944" s="587">
        <f t="shared" si="80"/>
        <v>0</v>
      </c>
      <c r="N944" s="587">
        <f t="shared" si="80"/>
        <v>0</v>
      </c>
      <c r="O944" s="587">
        <f t="shared" si="80"/>
        <v>0</v>
      </c>
      <c r="P944" s="587">
        <f t="shared" si="80"/>
        <v>4</v>
      </c>
    </row>
    <row r="945" spans="2:16">
      <c r="B945" s="587" t="s">
        <v>868</v>
      </c>
      <c r="C945" s="587" t="s">
        <v>869</v>
      </c>
      <c r="D945" s="587" t="s">
        <v>871</v>
      </c>
      <c r="E945" s="587"/>
      <c r="F945" s="587" t="str">
        <f t="shared" si="77"/>
        <v>Marche à pied (exclusivement sur tout le trajet)</v>
      </c>
      <c r="G945" s="587">
        <f t="shared" si="78"/>
        <v>7</v>
      </c>
      <c r="H945" s="587"/>
      <c r="I945" s="587">
        <v>10</v>
      </c>
      <c r="J945" s="587">
        <f t="shared" si="79"/>
        <v>0</v>
      </c>
      <c r="K945" s="587"/>
      <c r="L945" s="587"/>
      <c r="M945" s="587">
        <f t="shared" si="80"/>
        <v>7</v>
      </c>
      <c r="N945" s="587">
        <f t="shared" si="80"/>
        <v>0</v>
      </c>
      <c r="O945" s="587">
        <f t="shared" si="80"/>
        <v>0</v>
      </c>
      <c r="P945" s="587">
        <f t="shared" si="80"/>
        <v>0</v>
      </c>
    </row>
    <row r="946" spans="2:16">
      <c r="B946" s="587" t="s">
        <v>868</v>
      </c>
      <c r="C946" s="587" t="s">
        <v>869</v>
      </c>
      <c r="D946" s="587" t="s">
        <v>871</v>
      </c>
      <c r="E946" s="587"/>
      <c r="F946" s="587" t="str">
        <f t="shared" si="77"/>
        <v>Marche à pied (exclusivement sur tout le trajet)</v>
      </c>
      <c r="G946" s="587">
        <f t="shared" si="78"/>
        <v>7</v>
      </c>
      <c r="H946" s="587"/>
      <c r="I946" s="587">
        <v>10</v>
      </c>
      <c r="J946" s="587">
        <f t="shared" si="79"/>
        <v>0</v>
      </c>
      <c r="K946" s="587"/>
      <c r="L946" s="587"/>
      <c r="M946" s="587">
        <f t="shared" si="80"/>
        <v>7</v>
      </c>
      <c r="N946" s="587">
        <f t="shared" si="80"/>
        <v>0</v>
      </c>
      <c r="O946" s="587">
        <f t="shared" si="80"/>
        <v>0</v>
      </c>
      <c r="P946" s="587">
        <f t="shared" si="80"/>
        <v>0</v>
      </c>
    </row>
    <row r="947" spans="2:16">
      <c r="B947" s="587" t="s">
        <v>868</v>
      </c>
      <c r="C947" s="587" t="s">
        <v>882</v>
      </c>
      <c r="D947" s="587" t="s">
        <v>871</v>
      </c>
      <c r="E947" s="587"/>
      <c r="F947" s="587" t="str">
        <f t="shared" si="77"/>
        <v>Marche à pied (exclusivement sur tout le trajet)</v>
      </c>
      <c r="G947" s="587">
        <f t="shared" si="78"/>
        <v>7</v>
      </c>
      <c r="H947" s="587"/>
      <c r="I947" s="587">
        <v>45</v>
      </c>
      <c r="J947" s="587">
        <f t="shared" si="79"/>
        <v>0</v>
      </c>
      <c r="K947" s="587"/>
      <c r="L947" s="587"/>
      <c r="M947" s="587">
        <f t="shared" si="80"/>
        <v>0</v>
      </c>
      <c r="N947" s="587">
        <f t="shared" si="80"/>
        <v>0</v>
      </c>
      <c r="O947" s="587">
        <f t="shared" si="80"/>
        <v>7</v>
      </c>
      <c r="P947" s="587">
        <f t="shared" si="80"/>
        <v>0</v>
      </c>
    </row>
    <row r="948" spans="2:16">
      <c r="B948" s="587" t="s">
        <v>868</v>
      </c>
      <c r="C948" s="587" t="s">
        <v>869</v>
      </c>
      <c r="D948" s="587" t="s">
        <v>871</v>
      </c>
      <c r="E948" s="587"/>
      <c r="F948" s="587" t="str">
        <f t="shared" si="77"/>
        <v>Marche à pied (exclusivement sur tout le trajet)</v>
      </c>
      <c r="G948" s="587">
        <f t="shared" si="78"/>
        <v>7</v>
      </c>
      <c r="H948" s="587"/>
      <c r="I948" s="587">
        <v>5</v>
      </c>
      <c r="J948" s="587">
        <f t="shared" si="79"/>
        <v>0</v>
      </c>
      <c r="K948" s="587"/>
      <c r="L948" s="587"/>
      <c r="M948" s="587">
        <f t="shared" si="80"/>
        <v>7</v>
      </c>
      <c r="N948" s="587">
        <f t="shared" si="80"/>
        <v>0</v>
      </c>
      <c r="O948" s="587">
        <f t="shared" si="80"/>
        <v>0</v>
      </c>
      <c r="P948" s="587">
        <f t="shared" si="80"/>
        <v>0</v>
      </c>
    </row>
    <row r="949" spans="2:16">
      <c r="B949" s="587" t="s">
        <v>868</v>
      </c>
      <c r="C949" s="587" t="s">
        <v>869</v>
      </c>
      <c r="D949" s="587" t="s">
        <v>872</v>
      </c>
      <c r="E949" s="587"/>
      <c r="F949" s="587" t="str">
        <f t="shared" si="77"/>
        <v>Vélo personnel (y compris vélo à assistance électrique)</v>
      </c>
      <c r="G949" s="587">
        <f t="shared" si="78"/>
        <v>7</v>
      </c>
      <c r="H949" s="587"/>
      <c r="I949" s="587">
        <v>12</v>
      </c>
      <c r="J949" s="587">
        <f t="shared" si="79"/>
        <v>0</v>
      </c>
      <c r="K949" s="587"/>
      <c r="L949" s="587"/>
      <c r="M949" s="587">
        <f t="shared" si="80"/>
        <v>7</v>
      </c>
      <c r="N949" s="587">
        <f t="shared" si="80"/>
        <v>0</v>
      </c>
      <c r="O949" s="587">
        <f t="shared" si="80"/>
        <v>0</v>
      </c>
      <c r="P949" s="587">
        <f t="shared" si="80"/>
        <v>0</v>
      </c>
    </row>
    <row r="950" spans="2:16">
      <c r="B950" s="587" t="s">
        <v>868</v>
      </c>
      <c r="C950" s="587" t="s">
        <v>875</v>
      </c>
      <c r="D950" s="587" t="s">
        <v>848</v>
      </c>
      <c r="E950" s="587"/>
      <c r="F950" s="587" t="str">
        <f t="shared" si="77"/>
        <v>Bus</v>
      </c>
      <c r="G950" s="587">
        <f t="shared" si="78"/>
        <v>2</v>
      </c>
      <c r="H950" s="587"/>
      <c r="I950" s="587">
        <v>50</v>
      </c>
      <c r="J950" s="587">
        <f t="shared" si="79"/>
        <v>1.29</v>
      </c>
      <c r="K950" s="587"/>
      <c r="L950" s="587"/>
      <c r="M950" s="587">
        <f t="shared" si="80"/>
        <v>0</v>
      </c>
      <c r="N950" s="587">
        <f t="shared" si="80"/>
        <v>2</v>
      </c>
      <c r="O950" s="587">
        <f t="shared" si="80"/>
        <v>0</v>
      </c>
      <c r="P950" s="587">
        <f t="shared" si="80"/>
        <v>0</v>
      </c>
    </row>
    <row r="951" spans="2:16">
      <c r="B951" s="587" t="s">
        <v>868</v>
      </c>
      <c r="C951" s="587" t="s">
        <v>869</v>
      </c>
      <c r="D951" s="587" t="s">
        <v>871</v>
      </c>
      <c r="E951" s="587"/>
      <c r="F951" s="587" t="str">
        <f t="shared" si="77"/>
        <v>Marche à pied (exclusivement sur tout le trajet)</v>
      </c>
      <c r="G951" s="587">
        <f t="shared" si="78"/>
        <v>7</v>
      </c>
      <c r="H951" s="587"/>
      <c r="I951" s="587">
        <v>15</v>
      </c>
      <c r="J951" s="587">
        <f t="shared" si="79"/>
        <v>0</v>
      </c>
      <c r="K951" s="587"/>
      <c r="L951" s="587"/>
      <c r="M951" s="587">
        <f t="shared" si="80"/>
        <v>7</v>
      </c>
      <c r="N951" s="587">
        <f t="shared" si="80"/>
        <v>0</v>
      </c>
      <c r="O951" s="587">
        <f t="shared" si="80"/>
        <v>0</v>
      </c>
      <c r="P951" s="587">
        <f t="shared" si="80"/>
        <v>0</v>
      </c>
    </row>
    <row r="952" spans="2:16">
      <c r="B952" s="587" t="s">
        <v>868</v>
      </c>
      <c r="C952" s="587" t="s">
        <v>869</v>
      </c>
      <c r="D952" s="587" t="s">
        <v>871</v>
      </c>
      <c r="E952" s="587"/>
      <c r="F952" s="587" t="str">
        <f t="shared" si="77"/>
        <v>Marche à pied (exclusivement sur tout le trajet)</v>
      </c>
      <c r="G952" s="587">
        <f t="shared" si="78"/>
        <v>7</v>
      </c>
      <c r="H952" s="587"/>
      <c r="I952" s="587">
        <v>20</v>
      </c>
      <c r="J952" s="587">
        <f t="shared" si="79"/>
        <v>0</v>
      </c>
      <c r="K952" s="587"/>
      <c r="L952" s="587"/>
      <c r="M952" s="587">
        <f t="shared" si="80"/>
        <v>7</v>
      </c>
      <c r="N952" s="587">
        <f t="shared" si="80"/>
        <v>0</v>
      </c>
      <c r="O952" s="587">
        <f t="shared" si="80"/>
        <v>0</v>
      </c>
      <c r="P952" s="587">
        <f t="shared" si="80"/>
        <v>0</v>
      </c>
    </row>
    <row r="953" spans="2:16">
      <c r="B953" s="587" t="s">
        <v>868</v>
      </c>
      <c r="C953" s="587" t="s">
        <v>869</v>
      </c>
      <c r="D953" s="587"/>
      <c r="E953" s="587" t="s">
        <v>873</v>
      </c>
      <c r="F953" s="587" t="str">
        <f t="shared" si="77"/>
        <v>Tramway</v>
      </c>
      <c r="G953" s="587">
        <f t="shared" si="78"/>
        <v>1</v>
      </c>
      <c r="H953" s="587"/>
      <c r="I953" s="587">
        <v>10</v>
      </c>
      <c r="J953" s="587">
        <f t="shared" si="79"/>
        <v>4.8833333333333326E-2</v>
      </c>
      <c r="K953" s="587"/>
      <c r="L953" s="587"/>
      <c r="M953" s="587">
        <f t="shared" si="80"/>
        <v>1</v>
      </c>
      <c r="N953" s="587">
        <f t="shared" si="80"/>
        <v>0</v>
      </c>
      <c r="O953" s="587">
        <f t="shared" si="80"/>
        <v>0</v>
      </c>
      <c r="P953" s="587">
        <f t="shared" si="80"/>
        <v>0</v>
      </c>
    </row>
    <row r="954" spans="2:16">
      <c r="B954" s="587" t="s">
        <v>868</v>
      </c>
      <c r="C954" s="587" t="s">
        <v>875</v>
      </c>
      <c r="D954" s="587" t="s">
        <v>879</v>
      </c>
      <c r="E954" s="587"/>
      <c r="F954" s="587" t="str">
        <f t="shared" si="77"/>
        <v>Voiture (seul(e))</v>
      </c>
      <c r="G954" s="587">
        <f t="shared" si="78"/>
        <v>3</v>
      </c>
      <c r="H954" s="587"/>
      <c r="I954" s="587">
        <v>10</v>
      </c>
      <c r="J954" s="587">
        <f t="shared" si="79"/>
        <v>2.7600000000000002</v>
      </c>
      <c r="K954" s="587"/>
      <c r="L954" s="587"/>
      <c r="M954" s="587">
        <f t="shared" si="80"/>
        <v>0</v>
      </c>
      <c r="N954" s="587">
        <f t="shared" si="80"/>
        <v>3</v>
      </c>
      <c r="O954" s="587">
        <f t="shared" si="80"/>
        <v>0</v>
      </c>
      <c r="P954" s="587">
        <f t="shared" si="80"/>
        <v>0</v>
      </c>
    </row>
    <row r="955" spans="2:16">
      <c r="B955" s="587" t="s">
        <v>868</v>
      </c>
      <c r="C955" s="587" t="s">
        <v>869</v>
      </c>
      <c r="D955" s="587" t="s">
        <v>876</v>
      </c>
      <c r="E955" s="587"/>
      <c r="F955" s="587" t="str">
        <f t="shared" si="77"/>
        <v>Trottinette, roller, skateboard,...</v>
      </c>
      <c r="G955" s="587">
        <f t="shared" si="78"/>
        <v>7</v>
      </c>
      <c r="H955" s="587"/>
      <c r="I955" s="587">
        <v>7</v>
      </c>
      <c r="J955" s="587">
        <f t="shared" si="79"/>
        <v>0</v>
      </c>
      <c r="K955" s="587"/>
      <c r="L955" s="587"/>
      <c r="M955" s="587">
        <f t="shared" si="80"/>
        <v>7</v>
      </c>
      <c r="N955" s="587">
        <f t="shared" si="80"/>
        <v>0</v>
      </c>
      <c r="O955" s="587">
        <f t="shared" si="80"/>
        <v>0</v>
      </c>
      <c r="P955" s="587">
        <f t="shared" si="80"/>
        <v>0</v>
      </c>
    </row>
    <row r="956" spans="2:16">
      <c r="B956" s="587" t="s">
        <v>868</v>
      </c>
      <c r="C956" s="587" t="s">
        <v>882</v>
      </c>
      <c r="D956" s="587" t="s">
        <v>848</v>
      </c>
      <c r="E956" s="587"/>
      <c r="F956" s="587" t="str">
        <f t="shared" ref="F956:F1019" si="81">IF(D956="",E956,D956)</f>
        <v>Bus</v>
      </c>
      <c r="G956" s="587">
        <f t="shared" ref="G956:G1019" si="82">IF(F956="Métro",1,IF(F956="Tramway",1,IF(F956="Vélo'v",7,IF(F956="Marche à pied (exclusivement sur tout le trajet)",7,IF(F956="Vélo personnel (y compris vélo à assistance électrique)",7,IF(F956="Trottinette, roller, skateboard,…",7,IF(F956="Marche à pied au-delà de 5 minutes",7,IF(F956="Voiture (seul(e))",3,IF(F956="Bus",2,IF(F956="Trottinette, roller, skateboard au-delà de 5 minutes",7,IF(F956="Covoiturage (passager(ère))",4,IF(F956="Trottinette, roller, skateboard,...",7,IF(F956="Vélo’v",7,IF(F956="Train (TER,TGV,...)",6,IF(F956="Deux roues motorisées (moto, scooter, mobylette,…)",5,IF(F956="Covoiturage (conducteur(trice))",4,IF(F956="Train (TER,..)",6,0)))))))))))))))))</f>
        <v>2</v>
      </c>
      <c r="H956" s="587"/>
      <c r="I956" s="587">
        <v>15</v>
      </c>
      <c r="J956" s="587">
        <f t="shared" ref="J956:J1019" si="83">IF(G956=1,$C$6*($I$28*$K$6)/$J$6,IF(G956=2,$C$7*($I$28*$K$7)/$J$7,IF(G956=3,$C$8*$I$28*$K$8/$J$8,IF(G956=4,$C$9*$I$28*$K$9/$J$9,IF(G956=5,$C$10*$I$28*$K$10/$J$10,IF(G956=6,$C$11*$K$11*$I$28/$J$11,0))))))</f>
        <v>1.29</v>
      </c>
      <c r="K956" s="587"/>
      <c r="L956" s="587"/>
      <c r="M956" s="587">
        <f t="shared" si="80"/>
        <v>0</v>
      </c>
      <c r="N956" s="587">
        <f t="shared" si="80"/>
        <v>0</v>
      </c>
      <c r="O956" s="587">
        <f t="shared" si="80"/>
        <v>2</v>
      </c>
      <c r="P956" s="587">
        <f t="shared" si="80"/>
        <v>0</v>
      </c>
    </row>
    <row r="957" spans="2:16">
      <c r="B957" s="587" t="s">
        <v>868</v>
      </c>
      <c r="C957" s="587" t="s">
        <v>875</v>
      </c>
      <c r="D957" s="587"/>
      <c r="E957" s="587" t="s">
        <v>878</v>
      </c>
      <c r="F957" s="587" t="str">
        <f t="shared" si="81"/>
        <v>Marche à pied au-delà de 5 minutes</v>
      </c>
      <c r="G957" s="587">
        <f t="shared" si="82"/>
        <v>7</v>
      </c>
      <c r="H957" s="587"/>
      <c r="I957" s="587">
        <v>60</v>
      </c>
      <c r="J957" s="587">
        <f t="shared" si="83"/>
        <v>0</v>
      </c>
      <c r="K957" s="587"/>
      <c r="L957" s="587"/>
      <c r="M957" s="587">
        <f t="shared" si="80"/>
        <v>0</v>
      </c>
      <c r="N957" s="587">
        <f t="shared" si="80"/>
        <v>7</v>
      </c>
      <c r="O957" s="587">
        <f t="shared" si="80"/>
        <v>0</v>
      </c>
      <c r="P957" s="587">
        <f t="shared" si="80"/>
        <v>0</v>
      </c>
    </row>
    <row r="958" spans="2:16">
      <c r="B958" s="587" t="s">
        <v>868</v>
      </c>
      <c r="C958" s="587" t="s">
        <v>869</v>
      </c>
      <c r="D958" s="587" t="s">
        <v>871</v>
      </c>
      <c r="E958" s="587"/>
      <c r="F958" s="587" t="str">
        <f t="shared" si="81"/>
        <v>Marche à pied (exclusivement sur tout le trajet)</v>
      </c>
      <c r="G958" s="587">
        <f t="shared" si="82"/>
        <v>7</v>
      </c>
      <c r="H958" s="587"/>
      <c r="I958" s="587">
        <v>10</v>
      </c>
      <c r="J958" s="587">
        <f t="shared" si="83"/>
        <v>0</v>
      </c>
      <c r="K958" s="587"/>
      <c r="L958" s="587"/>
      <c r="M958" s="587">
        <f t="shared" si="80"/>
        <v>7</v>
      </c>
      <c r="N958" s="587">
        <f t="shared" si="80"/>
        <v>0</v>
      </c>
      <c r="O958" s="587">
        <f t="shared" si="80"/>
        <v>0</v>
      </c>
      <c r="P958" s="587">
        <f t="shared" si="80"/>
        <v>0</v>
      </c>
    </row>
    <row r="959" spans="2:16">
      <c r="B959" s="587" t="s">
        <v>868</v>
      </c>
      <c r="C959" s="587" t="s">
        <v>869</v>
      </c>
      <c r="D959" s="587" t="s">
        <v>871</v>
      </c>
      <c r="E959" s="587"/>
      <c r="F959" s="587" t="str">
        <f t="shared" si="81"/>
        <v>Marche à pied (exclusivement sur tout le trajet)</v>
      </c>
      <c r="G959" s="587">
        <f t="shared" si="82"/>
        <v>7</v>
      </c>
      <c r="H959" s="587"/>
      <c r="I959" s="587">
        <v>5</v>
      </c>
      <c r="J959" s="587">
        <f t="shared" si="83"/>
        <v>0</v>
      </c>
      <c r="K959" s="587"/>
      <c r="L959" s="587"/>
      <c r="M959" s="587">
        <f t="shared" si="80"/>
        <v>7</v>
      </c>
      <c r="N959" s="587">
        <f t="shared" si="80"/>
        <v>0</v>
      </c>
      <c r="O959" s="587">
        <f t="shared" si="80"/>
        <v>0</v>
      </c>
      <c r="P959" s="587">
        <f t="shared" si="80"/>
        <v>0</v>
      </c>
    </row>
    <row r="960" spans="2:16">
      <c r="B960" s="587" t="s">
        <v>868</v>
      </c>
      <c r="C960" s="587" t="s">
        <v>869</v>
      </c>
      <c r="D960" s="587" t="s">
        <v>871</v>
      </c>
      <c r="E960" s="587"/>
      <c r="F960" s="587" t="str">
        <f t="shared" si="81"/>
        <v>Marche à pied (exclusivement sur tout le trajet)</v>
      </c>
      <c r="G960" s="587">
        <f t="shared" si="82"/>
        <v>7</v>
      </c>
      <c r="H960" s="587"/>
      <c r="I960" s="587">
        <v>10</v>
      </c>
      <c r="J960" s="587">
        <f t="shared" si="83"/>
        <v>0</v>
      </c>
      <c r="K960" s="587"/>
      <c r="L960" s="587"/>
      <c r="M960" s="587">
        <f t="shared" si="80"/>
        <v>7</v>
      </c>
      <c r="N960" s="587">
        <f t="shared" si="80"/>
        <v>0</v>
      </c>
      <c r="O960" s="587">
        <f t="shared" si="80"/>
        <v>0</v>
      </c>
      <c r="P960" s="587">
        <f t="shared" si="80"/>
        <v>0</v>
      </c>
    </row>
    <row r="961" spans="2:16">
      <c r="B961" s="587" t="s">
        <v>868</v>
      </c>
      <c r="C961" s="587" t="s">
        <v>882</v>
      </c>
      <c r="D961" s="587" t="s">
        <v>879</v>
      </c>
      <c r="E961" s="587"/>
      <c r="F961" s="587" t="str">
        <f t="shared" si="81"/>
        <v>Voiture (seul(e))</v>
      </c>
      <c r="G961" s="587">
        <f t="shared" si="82"/>
        <v>3</v>
      </c>
      <c r="H961" s="587"/>
      <c r="I961" s="587">
        <v>15</v>
      </c>
      <c r="J961" s="587">
        <f t="shared" si="83"/>
        <v>2.7600000000000002</v>
      </c>
      <c r="K961" s="587"/>
      <c r="L961" s="587"/>
      <c r="M961" s="587">
        <f t="shared" si="80"/>
        <v>0</v>
      </c>
      <c r="N961" s="587">
        <f t="shared" si="80"/>
        <v>0</v>
      </c>
      <c r="O961" s="587">
        <f t="shared" si="80"/>
        <v>3</v>
      </c>
      <c r="P961" s="587">
        <f t="shared" si="80"/>
        <v>0</v>
      </c>
    </row>
    <row r="962" spans="2:16">
      <c r="B962" s="587" t="s">
        <v>868</v>
      </c>
      <c r="C962" s="587" t="s">
        <v>869</v>
      </c>
      <c r="D962" s="587" t="s">
        <v>871</v>
      </c>
      <c r="E962" s="587"/>
      <c r="F962" s="587" t="str">
        <f t="shared" si="81"/>
        <v>Marche à pied (exclusivement sur tout le trajet)</v>
      </c>
      <c r="G962" s="587">
        <f t="shared" si="82"/>
        <v>7</v>
      </c>
      <c r="H962" s="587"/>
      <c r="I962" s="587">
        <v>15</v>
      </c>
      <c r="J962" s="587">
        <f t="shared" si="83"/>
        <v>0</v>
      </c>
      <c r="K962" s="587"/>
      <c r="L962" s="587"/>
      <c r="M962" s="587">
        <f t="shared" si="80"/>
        <v>7</v>
      </c>
      <c r="N962" s="587">
        <f t="shared" si="80"/>
        <v>0</v>
      </c>
      <c r="O962" s="587">
        <f t="shared" si="80"/>
        <v>0</v>
      </c>
      <c r="P962" s="587">
        <f t="shared" si="80"/>
        <v>0</v>
      </c>
    </row>
    <row r="963" spans="2:16">
      <c r="B963" s="587" t="s">
        <v>868</v>
      </c>
      <c r="C963" s="587" t="s">
        <v>869</v>
      </c>
      <c r="D963" s="587" t="s">
        <v>871</v>
      </c>
      <c r="E963" s="587"/>
      <c r="F963" s="587" t="str">
        <f t="shared" si="81"/>
        <v>Marche à pied (exclusivement sur tout le trajet)</v>
      </c>
      <c r="G963" s="587">
        <f t="shared" si="82"/>
        <v>7</v>
      </c>
      <c r="H963" s="587"/>
      <c r="I963" s="587">
        <v>1</v>
      </c>
      <c r="J963" s="587">
        <f t="shared" si="83"/>
        <v>0</v>
      </c>
      <c r="K963" s="587"/>
      <c r="L963" s="587"/>
      <c r="M963" s="587">
        <f t="shared" si="80"/>
        <v>7</v>
      </c>
      <c r="N963" s="587">
        <f t="shared" si="80"/>
        <v>0</v>
      </c>
      <c r="O963" s="587">
        <f t="shared" si="80"/>
        <v>0</v>
      </c>
      <c r="P963" s="587">
        <f t="shared" si="80"/>
        <v>0</v>
      </c>
    </row>
    <row r="964" spans="2:16">
      <c r="B964" s="587" t="s">
        <v>868</v>
      </c>
      <c r="C964" s="587" t="s">
        <v>869</v>
      </c>
      <c r="D964" s="587" t="s">
        <v>871</v>
      </c>
      <c r="E964" s="587"/>
      <c r="F964" s="587" t="str">
        <f t="shared" si="81"/>
        <v>Marche à pied (exclusivement sur tout le trajet)</v>
      </c>
      <c r="G964" s="587">
        <f t="shared" si="82"/>
        <v>7</v>
      </c>
      <c r="H964" s="587"/>
      <c r="I964" s="587">
        <v>5</v>
      </c>
      <c r="J964" s="587">
        <f t="shared" si="83"/>
        <v>0</v>
      </c>
      <c r="K964" s="587"/>
      <c r="L964" s="587"/>
      <c r="M964" s="587">
        <f t="shared" si="80"/>
        <v>7</v>
      </c>
      <c r="N964" s="587">
        <f t="shared" si="80"/>
        <v>0</v>
      </c>
      <c r="O964" s="587">
        <f t="shared" si="80"/>
        <v>0</v>
      </c>
      <c r="P964" s="587">
        <f t="shared" si="80"/>
        <v>0</v>
      </c>
    </row>
    <row r="965" spans="2:16">
      <c r="B965" s="587" t="s">
        <v>868</v>
      </c>
      <c r="C965" s="587" t="s">
        <v>869</v>
      </c>
      <c r="D965" s="587" t="s">
        <v>871</v>
      </c>
      <c r="E965" s="587"/>
      <c r="F965" s="587" t="str">
        <f t="shared" si="81"/>
        <v>Marche à pied (exclusivement sur tout le trajet)</v>
      </c>
      <c r="G965" s="587">
        <f t="shared" si="82"/>
        <v>7</v>
      </c>
      <c r="H965" s="587"/>
      <c r="I965" s="587">
        <v>7</v>
      </c>
      <c r="J965" s="587">
        <f t="shared" si="83"/>
        <v>0</v>
      </c>
      <c r="K965" s="587"/>
      <c r="L965" s="587"/>
      <c r="M965" s="587">
        <f t="shared" si="80"/>
        <v>7</v>
      </c>
      <c r="N965" s="587">
        <f t="shared" si="80"/>
        <v>0</v>
      </c>
      <c r="O965" s="587">
        <f t="shared" si="80"/>
        <v>0</v>
      </c>
      <c r="P965" s="587">
        <f t="shared" si="80"/>
        <v>0</v>
      </c>
    </row>
    <row r="966" spans="2:16">
      <c r="B966" s="587" t="s">
        <v>868</v>
      </c>
      <c r="C966" s="587" t="s">
        <v>869</v>
      </c>
      <c r="D966" s="587" t="s">
        <v>871</v>
      </c>
      <c r="E966" s="587"/>
      <c r="F966" s="587" t="str">
        <f t="shared" si="81"/>
        <v>Marche à pied (exclusivement sur tout le trajet)</v>
      </c>
      <c r="G966" s="587">
        <f t="shared" si="82"/>
        <v>7</v>
      </c>
      <c r="H966" s="587"/>
      <c r="I966" s="587">
        <v>7</v>
      </c>
      <c r="J966" s="587">
        <f t="shared" si="83"/>
        <v>0</v>
      </c>
      <c r="K966" s="587"/>
      <c r="L966" s="587"/>
      <c r="M966" s="587">
        <f t="shared" si="80"/>
        <v>7</v>
      </c>
      <c r="N966" s="587">
        <f t="shared" si="80"/>
        <v>0</v>
      </c>
      <c r="O966" s="587">
        <f t="shared" si="80"/>
        <v>0</v>
      </c>
      <c r="P966" s="587">
        <f t="shared" si="80"/>
        <v>0</v>
      </c>
    </row>
    <row r="967" spans="2:16">
      <c r="B967" s="587" t="s">
        <v>868</v>
      </c>
      <c r="C967" s="587" t="s">
        <v>869</v>
      </c>
      <c r="D967" s="587" t="s">
        <v>871</v>
      </c>
      <c r="E967" s="587"/>
      <c r="F967" s="587" t="str">
        <f t="shared" si="81"/>
        <v>Marche à pied (exclusivement sur tout le trajet)</v>
      </c>
      <c r="G967" s="587">
        <f t="shared" si="82"/>
        <v>7</v>
      </c>
      <c r="H967" s="587"/>
      <c r="I967" s="587">
        <v>3</v>
      </c>
      <c r="J967" s="587">
        <f t="shared" si="83"/>
        <v>0</v>
      </c>
      <c r="K967" s="587"/>
      <c r="L967" s="587"/>
      <c r="M967" s="587">
        <f t="shared" si="80"/>
        <v>7</v>
      </c>
      <c r="N967" s="587">
        <f t="shared" si="80"/>
        <v>0</v>
      </c>
      <c r="O967" s="587">
        <f t="shared" si="80"/>
        <v>0</v>
      </c>
      <c r="P967" s="587">
        <f t="shared" si="80"/>
        <v>0</v>
      </c>
    </row>
    <row r="968" spans="2:16">
      <c r="B968" s="587" t="s">
        <v>868</v>
      </c>
      <c r="C968" s="587" t="s">
        <v>869</v>
      </c>
      <c r="D968" s="587" t="s">
        <v>871</v>
      </c>
      <c r="E968" s="587"/>
      <c r="F968" s="587" t="str">
        <f t="shared" si="81"/>
        <v>Marche à pied (exclusivement sur tout le trajet)</v>
      </c>
      <c r="G968" s="587">
        <f t="shared" si="82"/>
        <v>7</v>
      </c>
      <c r="H968" s="587"/>
      <c r="I968" s="587">
        <v>5</v>
      </c>
      <c r="J968" s="587">
        <f t="shared" si="83"/>
        <v>0</v>
      </c>
      <c r="K968" s="587"/>
      <c r="L968" s="587"/>
      <c r="M968" s="587">
        <f t="shared" si="80"/>
        <v>7</v>
      </c>
      <c r="N968" s="587">
        <f t="shared" si="80"/>
        <v>0</v>
      </c>
      <c r="O968" s="587">
        <f t="shared" si="80"/>
        <v>0</v>
      </c>
      <c r="P968" s="587">
        <f t="shared" si="80"/>
        <v>0</v>
      </c>
    </row>
    <row r="969" spans="2:16">
      <c r="B969" s="587" t="s">
        <v>868</v>
      </c>
      <c r="C969" s="587" t="s">
        <v>869</v>
      </c>
      <c r="D969" s="587" t="s">
        <v>872</v>
      </c>
      <c r="E969" s="587"/>
      <c r="F969" s="587" t="str">
        <f t="shared" si="81"/>
        <v>Vélo personnel (y compris vélo à assistance électrique)</v>
      </c>
      <c r="G969" s="587">
        <f t="shared" si="82"/>
        <v>7</v>
      </c>
      <c r="H969" s="587"/>
      <c r="I969" s="587">
        <v>10</v>
      </c>
      <c r="J969" s="587">
        <f t="shared" si="83"/>
        <v>0</v>
      </c>
      <c r="K969" s="587"/>
      <c r="L969" s="587"/>
      <c r="M969" s="587">
        <f t="shared" si="80"/>
        <v>7</v>
      </c>
      <c r="N969" s="587">
        <f t="shared" si="80"/>
        <v>0</v>
      </c>
      <c r="O969" s="587">
        <f t="shared" si="80"/>
        <v>0</v>
      </c>
      <c r="P969" s="587">
        <f t="shared" si="80"/>
        <v>0</v>
      </c>
    </row>
    <row r="970" spans="2:16">
      <c r="B970" s="587" t="s">
        <v>868</v>
      </c>
      <c r="C970" s="587" t="s">
        <v>882</v>
      </c>
      <c r="D970" s="587" t="s">
        <v>872</v>
      </c>
      <c r="E970" s="587"/>
      <c r="F970" s="587" t="str">
        <f t="shared" si="81"/>
        <v>Vélo personnel (y compris vélo à assistance électrique)</v>
      </c>
      <c r="G970" s="587">
        <f t="shared" si="82"/>
        <v>7</v>
      </c>
      <c r="H970" s="587"/>
      <c r="I970" s="587">
        <v>15</v>
      </c>
      <c r="J970" s="587">
        <f t="shared" si="83"/>
        <v>0</v>
      </c>
      <c r="K970" s="587"/>
      <c r="L970" s="587"/>
      <c r="M970" s="587">
        <f t="shared" si="80"/>
        <v>0</v>
      </c>
      <c r="N970" s="587">
        <f t="shared" si="80"/>
        <v>0</v>
      </c>
      <c r="O970" s="587">
        <f t="shared" si="80"/>
        <v>7</v>
      </c>
      <c r="P970" s="587">
        <f t="shared" si="80"/>
        <v>0</v>
      </c>
    </row>
    <row r="971" spans="2:16">
      <c r="B971" s="587" t="s">
        <v>868</v>
      </c>
      <c r="C971" s="587" t="s">
        <v>869</v>
      </c>
      <c r="D971" s="587" t="s">
        <v>871</v>
      </c>
      <c r="E971" s="587"/>
      <c r="F971" s="587" t="str">
        <f t="shared" si="81"/>
        <v>Marche à pied (exclusivement sur tout le trajet)</v>
      </c>
      <c r="G971" s="587">
        <f t="shared" si="82"/>
        <v>7</v>
      </c>
      <c r="H971" s="587"/>
      <c r="I971" s="587">
        <v>10</v>
      </c>
      <c r="J971" s="587">
        <f t="shared" si="83"/>
        <v>0</v>
      </c>
      <c r="K971" s="587"/>
      <c r="L971" s="587"/>
      <c r="M971" s="587">
        <f t="shared" si="80"/>
        <v>7</v>
      </c>
      <c r="N971" s="587">
        <f t="shared" si="80"/>
        <v>0</v>
      </c>
      <c r="O971" s="587">
        <f t="shared" si="80"/>
        <v>0</v>
      </c>
      <c r="P971" s="587">
        <f t="shared" si="80"/>
        <v>0</v>
      </c>
    </row>
    <row r="972" spans="2:16">
      <c r="B972" s="587" t="s">
        <v>868</v>
      </c>
      <c r="C972" s="587" t="s">
        <v>882</v>
      </c>
      <c r="D972" s="587" t="s">
        <v>879</v>
      </c>
      <c r="E972" s="587"/>
      <c r="F972" s="587" t="str">
        <f t="shared" si="81"/>
        <v>Voiture (seul(e))</v>
      </c>
      <c r="G972" s="587">
        <f t="shared" si="82"/>
        <v>3</v>
      </c>
      <c r="H972" s="587"/>
      <c r="I972" s="587">
        <v>20</v>
      </c>
      <c r="J972" s="587">
        <f t="shared" si="83"/>
        <v>2.7600000000000002</v>
      </c>
      <c r="K972" s="587"/>
      <c r="L972" s="587"/>
      <c r="M972" s="587">
        <f t="shared" si="80"/>
        <v>0</v>
      </c>
      <c r="N972" s="587">
        <f t="shared" si="80"/>
        <v>0</v>
      </c>
      <c r="O972" s="587">
        <f t="shared" si="80"/>
        <v>3</v>
      </c>
      <c r="P972" s="587">
        <f t="shared" si="80"/>
        <v>0</v>
      </c>
    </row>
    <row r="973" spans="2:16">
      <c r="B973" s="587" t="s">
        <v>868</v>
      </c>
      <c r="C973" s="587" t="s">
        <v>869</v>
      </c>
      <c r="D973" s="587" t="s">
        <v>877</v>
      </c>
      <c r="E973" s="587"/>
      <c r="F973" s="587" t="str">
        <f t="shared" si="81"/>
        <v>Vélo’v</v>
      </c>
      <c r="G973" s="587">
        <f t="shared" si="82"/>
        <v>7</v>
      </c>
      <c r="H973" s="587"/>
      <c r="I973" s="587">
        <v>18</v>
      </c>
      <c r="J973" s="587">
        <f t="shared" si="83"/>
        <v>0</v>
      </c>
      <c r="K973" s="587"/>
      <c r="L973" s="587"/>
      <c r="M973" s="587">
        <f t="shared" si="80"/>
        <v>7</v>
      </c>
      <c r="N973" s="587">
        <f t="shared" si="80"/>
        <v>0</v>
      </c>
      <c r="O973" s="587">
        <f t="shared" si="80"/>
        <v>0</v>
      </c>
      <c r="P973" s="587">
        <f t="shared" si="80"/>
        <v>0</v>
      </c>
    </row>
    <row r="974" spans="2:16">
      <c r="B974" s="587" t="s">
        <v>868</v>
      </c>
      <c r="C974" s="587" t="s">
        <v>869</v>
      </c>
      <c r="D974" s="587" t="s">
        <v>880</v>
      </c>
      <c r="E974" s="587"/>
      <c r="F974" s="587" t="str">
        <f t="shared" si="81"/>
        <v>Train (TER,TGV,...)</v>
      </c>
      <c r="G974" s="587">
        <f t="shared" si="82"/>
        <v>6</v>
      </c>
      <c r="H974" s="587"/>
      <c r="I974" s="587">
        <v>180</v>
      </c>
      <c r="J974" s="587">
        <f t="shared" si="83"/>
        <v>0.34600000000000003</v>
      </c>
      <c r="K974" s="587"/>
      <c r="L974" s="587"/>
      <c r="M974" s="587">
        <f t="shared" si="80"/>
        <v>6</v>
      </c>
      <c r="N974" s="587">
        <f t="shared" si="80"/>
        <v>0</v>
      </c>
      <c r="O974" s="587">
        <f t="shared" si="80"/>
        <v>0</v>
      </c>
      <c r="P974" s="587">
        <f t="shared" si="80"/>
        <v>0</v>
      </c>
    </row>
    <row r="975" spans="2:16">
      <c r="B975" s="587" t="s">
        <v>868</v>
      </c>
      <c r="C975" s="587" t="s">
        <v>875</v>
      </c>
      <c r="D975" s="587" t="s">
        <v>872</v>
      </c>
      <c r="E975" s="587"/>
      <c r="F975" s="587" t="str">
        <f t="shared" si="81"/>
        <v>Vélo personnel (y compris vélo à assistance électrique)</v>
      </c>
      <c r="G975" s="587">
        <f t="shared" si="82"/>
        <v>7</v>
      </c>
      <c r="H975" s="587"/>
      <c r="I975" s="587">
        <v>12</v>
      </c>
      <c r="J975" s="587">
        <f t="shared" si="83"/>
        <v>0</v>
      </c>
      <c r="K975" s="587"/>
      <c r="L975" s="587"/>
      <c r="M975" s="587">
        <f t="shared" si="80"/>
        <v>0</v>
      </c>
      <c r="N975" s="587">
        <f t="shared" si="80"/>
        <v>7</v>
      </c>
      <c r="O975" s="587">
        <f t="shared" si="80"/>
        <v>0</v>
      </c>
      <c r="P975" s="587">
        <f t="shared" si="80"/>
        <v>0</v>
      </c>
    </row>
    <row r="976" spans="2:16">
      <c r="B976" s="587" t="s">
        <v>868</v>
      </c>
      <c r="C976" s="587" t="s">
        <v>882</v>
      </c>
      <c r="D976" s="587" t="s">
        <v>879</v>
      </c>
      <c r="E976" s="587"/>
      <c r="F976" s="587" t="str">
        <f t="shared" si="81"/>
        <v>Voiture (seul(e))</v>
      </c>
      <c r="G976" s="587">
        <f t="shared" si="82"/>
        <v>3</v>
      </c>
      <c r="H976" s="587"/>
      <c r="I976" s="587">
        <v>20</v>
      </c>
      <c r="J976" s="587">
        <f t="shared" si="83"/>
        <v>2.7600000000000002</v>
      </c>
      <c r="K976" s="587"/>
      <c r="L976" s="587"/>
      <c r="M976" s="587">
        <f t="shared" si="80"/>
        <v>0</v>
      </c>
      <c r="N976" s="587">
        <f t="shared" si="80"/>
        <v>0</v>
      </c>
      <c r="O976" s="587">
        <f t="shared" si="80"/>
        <v>3</v>
      </c>
      <c r="P976" s="587">
        <f t="shared" si="80"/>
        <v>0</v>
      </c>
    </row>
    <row r="977" spans="2:16">
      <c r="B977" s="587" t="s">
        <v>868</v>
      </c>
      <c r="C977" s="587" t="s">
        <v>882</v>
      </c>
      <c r="D977" s="587" t="s">
        <v>873</v>
      </c>
      <c r="E977" s="587"/>
      <c r="F977" s="587" t="str">
        <f t="shared" si="81"/>
        <v>Tramway</v>
      </c>
      <c r="G977" s="587">
        <f t="shared" si="82"/>
        <v>1</v>
      </c>
      <c r="H977" s="587"/>
      <c r="I977" s="587">
        <v>15</v>
      </c>
      <c r="J977" s="587">
        <f t="shared" si="83"/>
        <v>4.8833333333333326E-2</v>
      </c>
      <c r="K977" s="587"/>
      <c r="L977" s="587"/>
      <c r="M977" s="587">
        <f t="shared" si="80"/>
        <v>0</v>
      </c>
      <c r="N977" s="587">
        <f t="shared" si="80"/>
        <v>0</v>
      </c>
      <c r="O977" s="587">
        <f t="shared" si="80"/>
        <v>1</v>
      </c>
      <c r="P977" s="587">
        <f t="shared" si="80"/>
        <v>0</v>
      </c>
    </row>
    <row r="978" spans="2:16">
      <c r="B978" s="587" t="s">
        <v>868</v>
      </c>
      <c r="C978" s="587" t="s">
        <v>869</v>
      </c>
      <c r="D978" s="587" t="s">
        <v>871</v>
      </c>
      <c r="E978" s="587"/>
      <c r="F978" s="587" t="str">
        <f t="shared" si="81"/>
        <v>Marche à pied (exclusivement sur tout le trajet)</v>
      </c>
      <c r="G978" s="587">
        <f t="shared" si="82"/>
        <v>7</v>
      </c>
      <c r="H978" s="587"/>
      <c r="I978" s="587">
        <v>7</v>
      </c>
      <c r="J978" s="587">
        <f t="shared" si="83"/>
        <v>0</v>
      </c>
      <c r="K978" s="587"/>
      <c r="L978" s="587"/>
      <c r="M978" s="587">
        <f t="shared" si="80"/>
        <v>7</v>
      </c>
      <c r="N978" s="587">
        <f t="shared" si="80"/>
        <v>0</v>
      </c>
      <c r="O978" s="587">
        <f t="shared" si="80"/>
        <v>0</v>
      </c>
      <c r="P978" s="587">
        <f t="shared" si="80"/>
        <v>0</v>
      </c>
    </row>
    <row r="979" spans="2:16">
      <c r="B979" s="587" t="s">
        <v>868</v>
      </c>
      <c r="C979" s="587" t="s">
        <v>875</v>
      </c>
      <c r="D979" s="587"/>
      <c r="E979" s="587" t="s">
        <v>878</v>
      </c>
      <c r="F979" s="587" t="str">
        <f t="shared" si="81"/>
        <v>Marche à pied au-delà de 5 minutes</v>
      </c>
      <c r="G979" s="587">
        <f t="shared" si="82"/>
        <v>7</v>
      </c>
      <c r="H979" s="587"/>
      <c r="I979" s="587">
        <v>50</v>
      </c>
      <c r="J979" s="587">
        <f t="shared" si="83"/>
        <v>0</v>
      </c>
      <c r="K979" s="587"/>
      <c r="L979" s="587"/>
      <c r="M979" s="587">
        <f t="shared" si="80"/>
        <v>0</v>
      </c>
      <c r="N979" s="587">
        <f t="shared" si="80"/>
        <v>7</v>
      </c>
      <c r="O979" s="587">
        <f t="shared" si="80"/>
        <v>0</v>
      </c>
      <c r="P979" s="587">
        <f t="shared" si="80"/>
        <v>0</v>
      </c>
    </row>
    <row r="980" spans="2:16">
      <c r="B980" s="587" t="s">
        <v>868</v>
      </c>
      <c r="C980" s="587" t="s">
        <v>875</v>
      </c>
      <c r="D980" s="587" t="s">
        <v>877</v>
      </c>
      <c r="E980" s="587"/>
      <c r="F980" s="587" t="str">
        <f t="shared" si="81"/>
        <v>Vélo’v</v>
      </c>
      <c r="G980" s="587">
        <f t="shared" si="82"/>
        <v>7</v>
      </c>
      <c r="H980" s="587"/>
      <c r="I980" s="587">
        <v>40</v>
      </c>
      <c r="J980" s="587">
        <f t="shared" si="83"/>
        <v>0</v>
      </c>
      <c r="K980" s="587"/>
      <c r="L980" s="587"/>
      <c r="M980" s="587">
        <f t="shared" si="80"/>
        <v>0</v>
      </c>
      <c r="N980" s="587">
        <f t="shared" si="80"/>
        <v>7</v>
      </c>
      <c r="O980" s="587">
        <f t="shared" si="80"/>
        <v>0</v>
      </c>
      <c r="P980" s="587">
        <f t="shared" si="80"/>
        <v>0</v>
      </c>
    </row>
    <row r="981" spans="2:16">
      <c r="B981" s="587" t="s">
        <v>868</v>
      </c>
      <c r="C981" s="587" t="s">
        <v>869</v>
      </c>
      <c r="D981" s="587" t="s">
        <v>872</v>
      </c>
      <c r="E981" s="587"/>
      <c r="F981" s="587" t="str">
        <f t="shared" si="81"/>
        <v>Vélo personnel (y compris vélo à assistance électrique)</v>
      </c>
      <c r="G981" s="587">
        <f t="shared" si="82"/>
        <v>7</v>
      </c>
      <c r="H981" s="587"/>
      <c r="I981" s="587">
        <v>10</v>
      </c>
      <c r="J981" s="587">
        <f t="shared" si="83"/>
        <v>0</v>
      </c>
      <c r="K981" s="587"/>
      <c r="L981" s="587"/>
      <c r="M981" s="587">
        <f t="shared" si="80"/>
        <v>7</v>
      </c>
      <c r="N981" s="587">
        <f t="shared" si="80"/>
        <v>0</v>
      </c>
      <c r="O981" s="587">
        <f t="shared" si="80"/>
        <v>0</v>
      </c>
      <c r="P981" s="587">
        <f t="shared" si="80"/>
        <v>0</v>
      </c>
    </row>
    <row r="982" spans="2:16">
      <c r="B982" s="587" t="s">
        <v>868</v>
      </c>
      <c r="C982" s="587" t="s">
        <v>882</v>
      </c>
      <c r="D982" s="587" t="s">
        <v>885</v>
      </c>
      <c r="E982" s="587"/>
      <c r="F982" s="587" t="str">
        <f t="shared" si="81"/>
        <v>Covoiturage (conducteur(trice))</v>
      </c>
      <c r="G982" s="587">
        <f t="shared" si="82"/>
        <v>4</v>
      </c>
      <c r="H982" s="587"/>
      <c r="I982" s="587">
        <v>15</v>
      </c>
      <c r="J982" s="587">
        <f t="shared" si="83"/>
        <v>0.69000000000000006</v>
      </c>
      <c r="K982" s="587"/>
      <c r="L982" s="587"/>
      <c r="M982" s="587">
        <f t="shared" si="80"/>
        <v>0</v>
      </c>
      <c r="N982" s="587">
        <f t="shared" si="80"/>
        <v>0</v>
      </c>
      <c r="O982" s="587">
        <f t="shared" si="80"/>
        <v>4</v>
      </c>
      <c r="P982" s="587">
        <f t="shared" si="80"/>
        <v>0</v>
      </c>
    </row>
    <row r="983" spans="2:16">
      <c r="B983" s="587" t="s">
        <v>868</v>
      </c>
      <c r="C983" s="587" t="s">
        <v>35</v>
      </c>
      <c r="D983" s="587"/>
      <c r="E983" s="587" t="s">
        <v>870</v>
      </c>
      <c r="F983" s="587" t="str">
        <f t="shared" si="81"/>
        <v>Métro</v>
      </c>
      <c r="G983" s="587">
        <f t="shared" si="82"/>
        <v>1</v>
      </c>
      <c r="H983" s="587"/>
      <c r="I983" s="587">
        <v>25</v>
      </c>
      <c r="J983" s="587">
        <f t="shared" si="83"/>
        <v>4.8833333333333326E-2</v>
      </c>
      <c r="K983" s="587"/>
      <c r="L983" s="587"/>
      <c r="M983" s="587">
        <f t="shared" si="80"/>
        <v>0</v>
      </c>
      <c r="N983" s="587">
        <f t="shared" si="80"/>
        <v>0</v>
      </c>
      <c r="O983" s="587">
        <f t="shared" si="80"/>
        <v>0</v>
      </c>
      <c r="P983" s="587">
        <f t="shared" si="80"/>
        <v>1</v>
      </c>
    </row>
    <row r="984" spans="2:16">
      <c r="B984" s="587" t="s">
        <v>868</v>
      </c>
      <c r="C984" s="587" t="s">
        <v>869</v>
      </c>
      <c r="D984" s="587" t="s">
        <v>872</v>
      </c>
      <c r="E984" s="587"/>
      <c r="F984" s="587" t="str">
        <f t="shared" si="81"/>
        <v>Vélo personnel (y compris vélo à assistance électrique)</v>
      </c>
      <c r="G984" s="587">
        <f t="shared" si="82"/>
        <v>7</v>
      </c>
      <c r="H984" s="587"/>
      <c r="I984" s="587">
        <v>8</v>
      </c>
      <c r="J984" s="587">
        <f t="shared" si="83"/>
        <v>0</v>
      </c>
      <c r="K984" s="587"/>
      <c r="L984" s="587"/>
      <c r="M984" s="587">
        <f t="shared" si="80"/>
        <v>7</v>
      </c>
      <c r="N984" s="587">
        <f t="shared" si="80"/>
        <v>0</v>
      </c>
      <c r="O984" s="587">
        <f t="shared" si="80"/>
        <v>0</v>
      </c>
      <c r="P984" s="587">
        <f t="shared" si="80"/>
        <v>0</v>
      </c>
    </row>
    <row r="985" spans="2:16">
      <c r="B985" s="587" t="s">
        <v>868</v>
      </c>
      <c r="C985" s="587" t="s">
        <v>869</v>
      </c>
      <c r="D985" s="587" t="s">
        <v>871</v>
      </c>
      <c r="E985" s="587"/>
      <c r="F985" s="587" t="str">
        <f t="shared" si="81"/>
        <v>Marche à pied (exclusivement sur tout le trajet)</v>
      </c>
      <c r="G985" s="587">
        <f t="shared" si="82"/>
        <v>7</v>
      </c>
      <c r="H985" s="587"/>
      <c r="I985" s="587">
        <v>5</v>
      </c>
      <c r="J985" s="587">
        <f t="shared" si="83"/>
        <v>0</v>
      </c>
      <c r="K985" s="587"/>
      <c r="L985" s="587"/>
      <c r="M985" s="587">
        <f t="shared" si="80"/>
        <v>7</v>
      </c>
      <c r="N985" s="587">
        <f t="shared" si="80"/>
        <v>0</v>
      </c>
      <c r="O985" s="587">
        <f t="shared" si="80"/>
        <v>0</v>
      </c>
      <c r="P985" s="587">
        <f t="shared" ref="P985:P1048" si="84">IF($C985=P$27,$G985,0)</f>
        <v>0</v>
      </c>
    </row>
    <row r="986" spans="2:16">
      <c r="B986" s="587" t="s">
        <v>868</v>
      </c>
      <c r="C986" s="587" t="s">
        <v>882</v>
      </c>
      <c r="D986" s="587"/>
      <c r="E986" s="587" t="s">
        <v>878</v>
      </c>
      <c r="F986" s="587" t="str">
        <f t="shared" si="81"/>
        <v>Marche à pied au-delà de 5 minutes</v>
      </c>
      <c r="G986" s="587">
        <f t="shared" si="82"/>
        <v>7</v>
      </c>
      <c r="H986" s="587"/>
      <c r="I986" s="587">
        <v>70</v>
      </c>
      <c r="J986" s="587">
        <f t="shared" si="83"/>
        <v>0</v>
      </c>
      <c r="K986" s="587"/>
      <c r="L986" s="587"/>
      <c r="M986" s="587">
        <f t="shared" ref="M986:P1049" si="85">IF($C986=M$27,$G986,0)</f>
        <v>0</v>
      </c>
      <c r="N986" s="587">
        <f t="shared" si="85"/>
        <v>0</v>
      </c>
      <c r="O986" s="587">
        <f t="shared" si="85"/>
        <v>7</v>
      </c>
      <c r="P986" s="587">
        <f t="shared" si="84"/>
        <v>0</v>
      </c>
    </row>
    <row r="987" spans="2:16">
      <c r="B987" s="587" t="s">
        <v>868</v>
      </c>
      <c r="C987" s="587" t="s">
        <v>869</v>
      </c>
      <c r="D987" s="587" t="s">
        <v>871</v>
      </c>
      <c r="E987" s="587"/>
      <c r="F987" s="587" t="str">
        <f t="shared" si="81"/>
        <v>Marche à pied (exclusivement sur tout le trajet)</v>
      </c>
      <c r="G987" s="587">
        <f t="shared" si="82"/>
        <v>7</v>
      </c>
      <c r="H987" s="587"/>
      <c r="I987" s="587">
        <v>15</v>
      </c>
      <c r="J987" s="587">
        <f t="shared" si="83"/>
        <v>0</v>
      </c>
      <c r="K987" s="587"/>
      <c r="L987" s="587"/>
      <c r="M987" s="587">
        <f t="shared" si="85"/>
        <v>7</v>
      </c>
      <c r="N987" s="587">
        <f t="shared" si="85"/>
        <v>0</v>
      </c>
      <c r="O987" s="587">
        <f t="shared" si="85"/>
        <v>0</v>
      </c>
      <c r="P987" s="587">
        <f t="shared" si="84"/>
        <v>0</v>
      </c>
    </row>
    <row r="988" spans="2:16">
      <c r="B988" s="587" t="s">
        <v>868</v>
      </c>
      <c r="C988" s="587" t="s">
        <v>869</v>
      </c>
      <c r="D988" s="587" t="s">
        <v>871</v>
      </c>
      <c r="E988" s="587"/>
      <c r="F988" s="587" t="str">
        <f t="shared" si="81"/>
        <v>Marche à pied (exclusivement sur tout le trajet)</v>
      </c>
      <c r="G988" s="587">
        <f t="shared" si="82"/>
        <v>7</v>
      </c>
      <c r="H988" s="587"/>
      <c r="I988" s="587">
        <v>5</v>
      </c>
      <c r="J988" s="587">
        <f t="shared" si="83"/>
        <v>0</v>
      </c>
      <c r="K988" s="587"/>
      <c r="L988" s="587"/>
      <c r="M988" s="587">
        <f t="shared" si="85"/>
        <v>7</v>
      </c>
      <c r="N988" s="587">
        <f t="shared" si="85"/>
        <v>0</v>
      </c>
      <c r="O988" s="587">
        <f t="shared" si="85"/>
        <v>0</v>
      </c>
      <c r="P988" s="587">
        <f t="shared" si="84"/>
        <v>0</v>
      </c>
    </row>
    <row r="989" spans="2:16">
      <c r="B989" s="587" t="s">
        <v>868</v>
      </c>
      <c r="C989" s="587" t="s">
        <v>869</v>
      </c>
      <c r="D989" s="587" t="s">
        <v>872</v>
      </c>
      <c r="E989" s="587"/>
      <c r="F989" s="587" t="str">
        <f t="shared" si="81"/>
        <v>Vélo personnel (y compris vélo à assistance électrique)</v>
      </c>
      <c r="G989" s="587">
        <f t="shared" si="82"/>
        <v>7</v>
      </c>
      <c r="H989" s="587"/>
      <c r="I989" s="587">
        <v>10</v>
      </c>
      <c r="J989" s="587">
        <f t="shared" si="83"/>
        <v>0</v>
      </c>
      <c r="K989" s="587"/>
      <c r="L989" s="587"/>
      <c r="M989" s="587">
        <f t="shared" si="85"/>
        <v>7</v>
      </c>
      <c r="N989" s="587">
        <f t="shared" si="85"/>
        <v>0</v>
      </c>
      <c r="O989" s="587">
        <f t="shared" si="85"/>
        <v>0</v>
      </c>
      <c r="P989" s="587">
        <f t="shared" si="84"/>
        <v>0</v>
      </c>
    </row>
    <row r="990" spans="2:16">
      <c r="B990" s="587" t="s">
        <v>868</v>
      </c>
      <c r="C990" s="587" t="s">
        <v>875</v>
      </c>
      <c r="D990" s="587"/>
      <c r="E990" s="587" t="s">
        <v>881</v>
      </c>
      <c r="F990" s="587" t="str">
        <f t="shared" si="81"/>
        <v>Trottinette, roller, skateboard au-delà de 5 minutes</v>
      </c>
      <c r="G990" s="587">
        <f t="shared" si="82"/>
        <v>7</v>
      </c>
      <c r="H990" s="587"/>
      <c r="I990" s="587">
        <v>30</v>
      </c>
      <c r="J990" s="587">
        <f t="shared" si="83"/>
        <v>0</v>
      </c>
      <c r="K990" s="587"/>
      <c r="L990" s="587"/>
      <c r="M990" s="587">
        <f t="shared" si="85"/>
        <v>0</v>
      </c>
      <c r="N990" s="587">
        <f t="shared" si="85"/>
        <v>7</v>
      </c>
      <c r="O990" s="587">
        <f t="shared" si="85"/>
        <v>0</v>
      </c>
      <c r="P990" s="587">
        <f t="shared" si="84"/>
        <v>0</v>
      </c>
    </row>
    <row r="991" spans="2:16">
      <c r="B991" s="587" t="s">
        <v>868</v>
      </c>
      <c r="C991" s="587" t="s">
        <v>869</v>
      </c>
      <c r="D991" s="587" t="s">
        <v>871</v>
      </c>
      <c r="E991" s="587"/>
      <c r="F991" s="587" t="str">
        <f t="shared" si="81"/>
        <v>Marche à pied (exclusivement sur tout le trajet)</v>
      </c>
      <c r="G991" s="587">
        <f t="shared" si="82"/>
        <v>7</v>
      </c>
      <c r="H991" s="587"/>
      <c r="I991" s="587">
        <v>10</v>
      </c>
      <c r="J991" s="587">
        <f t="shared" si="83"/>
        <v>0</v>
      </c>
      <c r="K991" s="587"/>
      <c r="L991" s="587"/>
      <c r="M991" s="587">
        <f t="shared" si="85"/>
        <v>7</v>
      </c>
      <c r="N991" s="587">
        <f t="shared" si="85"/>
        <v>0</v>
      </c>
      <c r="O991" s="587">
        <f t="shared" si="85"/>
        <v>0</v>
      </c>
      <c r="P991" s="587">
        <f t="shared" si="84"/>
        <v>0</v>
      </c>
    </row>
    <row r="992" spans="2:16">
      <c r="B992" s="587" t="s">
        <v>868</v>
      </c>
      <c r="C992" s="587" t="s">
        <v>869</v>
      </c>
      <c r="D992" s="587" t="s">
        <v>871</v>
      </c>
      <c r="E992" s="587"/>
      <c r="F992" s="587" t="str">
        <f t="shared" si="81"/>
        <v>Marche à pied (exclusivement sur tout le trajet)</v>
      </c>
      <c r="G992" s="587">
        <f t="shared" si="82"/>
        <v>7</v>
      </c>
      <c r="H992" s="587"/>
      <c r="I992" s="587">
        <v>15</v>
      </c>
      <c r="J992" s="587">
        <f t="shared" si="83"/>
        <v>0</v>
      </c>
      <c r="K992" s="587"/>
      <c r="L992" s="587"/>
      <c r="M992" s="587">
        <f t="shared" si="85"/>
        <v>7</v>
      </c>
      <c r="N992" s="587">
        <f t="shared" si="85"/>
        <v>0</v>
      </c>
      <c r="O992" s="587">
        <f t="shared" si="85"/>
        <v>0</v>
      </c>
      <c r="P992" s="587">
        <f t="shared" si="84"/>
        <v>0</v>
      </c>
    </row>
    <row r="993" spans="2:16">
      <c r="B993" s="587" t="s">
        <v>868</v>
      </c>
      <c r="C993" s="587" t="s">
        <v>869</v>
      </c>
      <c r="D993" s="587" t="s">
        <v>871</v>
      </c>
      <c r="E993" s="587"/>
      <c r="F993" s="587" t="str">
        <f t="shared" si="81"/>
        <v>Marche à pied (exclusivement sur tout le trajet)</v>
      </c>
      <c r="G993" s="587">
        <f t="shared" si="82"/>
        <v>7</v>
      </c>
      <c r="H993" s="587"/>
      <c r="I993" s="587">
        <v>2</v>
      </c>
      <c r="J993" s="587">
        <f t="shared" si="83"/>
        <v>0</v>
      </c>
      <c r="K993" s="587"/>
      <c r="L993" s="587"/>
      <c r="M993" s="587">
        <f t="shared" si="85"/>
        <v>7</v>
      </c>
      <c r="N993" s="587">
        <f t="shared" si="85"/>
        <v>0</v>
      </c>
      <c r="O993" s="587">
        <f t="shared" si="85"/>
        <v>0</v>
      </c>
      <c r="P993" s="587">
        <f t="shared" si="84"/>
        <v>0</v>
      </c>
    </row>
    <row r="994" spans="2:16">
      <c r="B994" s="587" t="s">
        <v>868</v>
      </c>
      <c r="C994" s="587" t="s">
        <v>882</v>
      </c>
      <c r="D994" s="587" t="s">
        <v>879</v>
      </c>
      <c r="E994" s="587"/>
      <c r="F994" s="587" t="str">
        <f t="shared" si="81"/>
        <v>Voiture (seul(e))</v>
      </c>
      <c r="G994" s="587">
        <f t="shared" si="82"/>
        <v>3</v>
      </c>
      <c r="H994" s="587"/>
      <c r="I994" s="587">
        <v>15</v>
      </c>
      <c r="J994" s="587">
        <f t="shared" si="83"/>
        <v>2.7600000000000002</v>
      </c>
      <c r="K994" s="587"/>
      <c r="L994" s="587"/>
      <c r="M994" s="587">
        <f t="shared" si="85"/>
        <v>0</v>
      </c>
      <c r="N994" s="587">
        <f t="shared" si="85"/>
        <v>0</v>
      </c>
      <c r="O994" s="587">
        <f t="shared" si="85"/>
        <v>3</v>
      </c>
      <c r="P994" s="587">
        <f t="shared" si="84"/>
        <v>0</v>
      </c>
    </row>
    <row r="995" spans="2:16">
      <c r="B995" s="587" t="s">
        <v>868</v>
      </c>
      <c r="C995" s="587" t="s">
        <v>875</v>
      </c>
      <c r="D995" s="587" t="s">
        <v>872</v>
      </c>
      <c r="E995" s="587"/>
      <c r="F995" s="587" t="str">
        <f t="shared" si="81"/>
        <v>Vélo personnel (y compris vélo à assistance électrique)</v>
      </c>
      <c r="G995" s="587">
        <f t="shared" si="82"/>
        <v>7</v>
      </c>
      <c r="H995" s="587"/>
      <c r="I995" s="587">
        <v>40</v>
      </c>
      <c r="J995" s="587">
        <f t="shared" si="83"/>
        <v>0</v>
      </c>
      <c r="K995" s="587"/>
      <c r="L995" s="587"/>
      <c r="M995" s="587">
        <f t="shared" si="85"/>
        <v>0</v>
      </c>
      <c r="N995" s="587">
        <f t="shared" si="85"/>
        <v>7</v>
      </c>
      <c r="O995" s="587">
        <f t="shared" si="85"/>
        <v>0</v>
      </c>
      <c r="P995" s="587">
        <f t="shared" si="84"/>
        <v>0</v>
      </c>
    </row>
    <row r="996" spans="2:16">
      <c r="B996" s="587" t="s">
        <v>868</v>
      </c>
      <c r="C996" s="587" t="s">
        <v>869</v>
      </c>
      <c r="D996" s="587" t="s">
        <v>871</v>
      </c>
      <c r="E996" s="587"/>
      <c r="F996" s="587" t="str">
        <f t="shared" si="81"/>
        <v>Marche à pied (exclusivement sur tout le trajet)</v>
      </c>
      <c r="G996" s="587">
        <f t="shared" si="82"/>
        <v>7</v>
      </c>
      <c r="H996" s="587"/>
      <c r="I996" s="587">
        <v>7</v>
      </c>
      <c r="J996" s="587">
        <f t="shared" si="83"/>
        <v>0</v>
      </c>
      <c r="K996" s="587"/>
      <c r="L996" s="587"/>
      <c r="M996" s="587">
        <f t="shared" si="85"/>
        <v>7</v>
      </c>
      <c r="N996" s="587">
        <f t="shared" si="85"/>
        <v>0</v>
      </c>
      <c r="O996" s="587">
        <f t="shared" si="85"/>
        <v>0</v>
      </c>
      <c r="P996" s="587">
        <f t="shared" si="84"/>
        <v>0</v>
      </c>
    </row>
    <row r="997" spans="2:16">
      <c r="B997" s="587" t="s">
        <v>868</v>
      </c>
      <c r="C997" s="587" t="s">
        <v>875</v>
      </c>
      <c r="D997" s="587" t="s">
        <v>873</v>
      </c>
      <c r="E997" s="587"/>
      <c r="F997" s="587" t="str">
        <f t="shared" si="81"/>
        <v>Tramway</v>
      </c>
      <c r="G997" s="587">
        <f t="shared" si="82"/>
        <v>1</v>
      </c>
      <c r="H997" s="587"/>
      <c r="I997" s="587">
        <v>20</v>
      </c>
      <c r="J997" s="587">
        <f t="shared" si="83"/>
        <v>4.8833333333333326E-2</v>
      </c>
      <c r="K997" s="587"/>
      <c r="L997" s="587"/>
      <c r="M997" s="587">
        <f t="shared" si="85"/>
        <v>0</v>
      </c>
      <c r="N997" s="587">
        <f t="shared" si="85"/>
        <v>1</v>
      </c>
      <c r="O997" s="587">
        <f t="shared" si="85"/>
        <v>0</v>
      </c>
      <c r="P997" s="587">
        <f t="shared" si="84"/>
        <v>0</v>
      </c>
    </row>
    <row r="998" spans="2:16">
      <c r="B998" s="587" t="s">
        <v>868</v>
      </c>
      <c r="C998" s="587" t="s">
        <v>875</v>
      </c>
      <c r="D998" s="587"/>
      <c r="E998" s="587" t="s">
        <v>872</v>
      </c>
      <c r="F998" s="587" t="str">
        <f t="shared" si="81"/>
        <v>Vélo personnel (y compris vélo à assistance électrique)</v>
      </c>
      <c r="G998" s="587">
        <f t="shared" si="82"/>
        <v>7</v>
      </c>
      <c r="H998" s="587"/>
      <c r="I998" s="587">
        <v>50</v>
      </c>
      <c r="J998" s="587">
        <f t="shared" si="83"/>
        <v>0</v>
      </c>
      <c r="K998" s="587"/>
      <c r="L998" s="587"/>
      <c r="M998" s="587">
        <f t="shared" si="85"/>
        <v>0</v>
      </c>
      <c r="N998" s="587">
        <f t="shared" si="85"/>
        <v>7</v>
      </c>
      <c r="O998" s="587">
        <f t="shared" si="85"/>
        <v>0</v>
      </c>
      <c r="P998" s="587">
        <f t="shared" si="84"/>
        <v>0</v>
      </c>
    </row>
    <row r="999" spans="2:16">
      <c r="B999" s="587" t="s">
        <v>868</v>
      </c>
      <c r="C999" s="587" t="s">
        <v>882</v>
      </c>
      <c r="D999" s="587" t="s">
        <v>879</v>
      </c>
      <c r="E999" s="587"/>
      <c r="F999" s="587" t="str">
        <f t="shared" si="81"/>
        <v>Voiture (seul(e))</v>
      </c>
      <c r="G999" s="587">
        <f t="shared" si="82"/>
        <v>3</v>
      </c>
      <c r="H999" s="587"/>
      <c r="I999" s="587">
        <v>40</v>
      </c>
      <c r="J999" s="587">
        <f t="shared" si="83"/>
        <v>2.7600000000000002</v>
      </c>
      <c r="K999" s="587"/>
      <c r="L999" s="587"/>
      <c r="M999" s="587">
        <f t="shared" si="85"/>
        <v>0</v>
      </c>
      <c r="N999" s="587">
        <f t="shared" si="85"/>
        <v>0</v>
      </c>
      <c r="O999" s="587">
        <f t="shared" si="85"/>
        <v>3</v>
      </c>
      <c r="P999" s="587">
        <f t="shared" si="84"/>
        <v>0</v>
      </c>
    </row>
    <row r="1000" spans="2:16">
      <c r="B1000" s="587" t="s">
        <v>868</v>
      </c>
      <c r="C1000" s="587" t="s">
        <v>869</v>
      </c>
      <c r="D1000" s="587" t="s">
        <v>877</v>
      </c>
      <c r="E1000" s="587"/>
      <c r="F1000" s="587" t="str">
        <f t="shared" si="81"/>
        <v>Vélo’v</v>
      </c>
      <c r="G1000" s="587">
        <f t="shared" si="82"/>
        <v>7</v>
      </c>
      <c r="H1000" s="587"/>
      <c r="I1000" s="587">
        <v>10</v>
      </c>
      <c r="J1000" s="587">
        <f t="shared" si="83"/>
        <v>0</v>
      </c>
      <c r="K1000" s="587"/>
      <c r="L1000" s="587"/>
      <c r="M1000" s="587">
        <f t="shared" si="85"/>
        <v>7</v>
      </c>
      <c r="N1000" s="587">
        <f t="shared" si="85"/>
        <v>0</v>
      </c>
      <c r="O1000" s="587">
        <f t="shared" si="85"/>
        <v>0</v>
      </c>
      <c r="P1000" s="587">
        <f t="shared" si="84"/>
        <v>0</v>
      </c>
    </row>
    <row r="1001" spans="2:16">
      <c r="B1001" s="587" t="s">
        <v>868</v>
      </c>
      <c r="C1001" s="587" t="s">
        <v>869</v>
      </c>
      <c r="D1001" s="587" t="s">
        <v>876</v>
      </c>
      <c r="E1001" s="587"/>
      <c r="F1001" s="587" t="str">
        <f t="shared" si="81"/>
        <v>Trottinette, roller, skateboard,...</v>
      </c>
      <c r="G1001" s="587">
        <f t="shared" si="82"/>
        <v>7</v>
      </c>
      <c r="H1001" s="587"/>
      <c r="I1001" s="587">
        <v>10</v>
      </c>
      <c r="J1001" s="587">
        <f t="shared" si="83"/>
        <v>0</v>
      </c>
      <c r="K1001" s="587"/>
      <c r="L1001" s="587"/>
      <c r="M1001" s="587">
        <f t="shared" si="85"/>
        <v>7</v>
      </c>
      <c r="N1001" s="587">
        <f t="shared" si="85"/>
        <v>0</v>
      </c>
      <c r="O1001" s="587">
        <f t="shared" si="85"/>
        <v>0</v>
      </c>
      <c r="P1001" s="587">
        <f t="shared" si="84"/>
        <v>0</v>
      </c>
    </row>
    <row r="1002" spans="2:16">
      <c r="B1002" s="587" t="s">
        <v>868</v>
      </c>
      <c r="C1002" s="587" t="s">
        <v>869</v>
      </c>
      <c r="D1002" s="587"/>
      <c r="E1002" s="587" t="s">
        <v>878</v>
      </c>
      <c r="F1002" s="587" t="str">
        <f t="shared" si="81"/>
        <v>Marche à pied au-delà de 5 minutes</v>
      </c>
      <c r="G1002" s="587">
        <f t="shared" si="82"/>
        <v>7</v>
      </c>
      <c r="H1002" s="587"/>
      <c r="I1002" s="587">
        <v>45</v>
      </c>
      <c r="J1002" s="587">
        <f t="shared" si="83"/>
        <v>0</v>
      </c>
      <c r="K1002" s="587"/>
      <c r="L1002" s="587"/>
      <c r="M1002" s="587">
        <f t="shared" si="85"/>
        <v>7</v>
      </c>
      <c r="N1002" s="587">
        <f t="shared" si="85"/>
        <v>0</v>
      </c>
      <c r="O1002" s="587">
        <f t="shared" si="85"/>
        <v>0</v>
      </c>
      <c r="P1002" s="587">
        <f t="shared" si="84"/>
        <v>0</v>
      </c>
    </row>
    <row r="1003" spans="2:16">
      <c r="B1003" s="587" t="s">
        <v>868</v>
      </c>
      <c r="C1003" s="587" t="s">
        <v>869</v>
      </c>
      <c r="D1003" s="587" t="s">
        <v>877</v>
      </c>
      <c r="E1003" s="587"/>
      <c r="F1003" s="587" t="str">
        <f t="shared" si="81"/>
        <v>Vélo’v</v>
      </c>
      <c r="G1003" s="587">
        <f t="shared" si="82"/>
        <v>7</v>
      </c>
      <c r="H1003" s="587"/>
      <c r="I1003" s="587">
        <v>15</v>
      </c>
      <c r="J1003" s="587">
        <f t="shared" si="83"/>
        <v>0</v>
      </c>
      <c r="K1003" s="587"/>
      <c r="L1003" s="587"/>
      <c r="M1003" s="587">
        <f t="shared" si="85"/>
        <v>7</v>
      </c>
      <c r="N1003" s="587">
        <f t="shared" si="85"/>
        <v>0</v>
      </c>
      <c r="O1003" s="587">
        <f t="shared" si="85"/>
        <v>0</v>
      </c>
      <c r="P1003" s="587">
        <f t="shared" si="84"/>
        <v>0</v>
      </c>
    </row>
    <row r="1004" spans="2:16">
      <c r="B1004" s="587" t="s">
        <v>868</v>
      </c>
      <c r="C1004" s="587" t="s">
        <v>869</v>
      </c>
      <c r="D1004" s="587" t="s">
        <v>884</v>
      </c>
      <c r="E1004" s="587"/>
      <c r="F1004" s="587" t="str">
        <f t="shared" si="81"/>
        <v>Deux roues motorisées (moto, scooter, mobylette,…)</v>
      </c>
      <c r="G1004" s="587">
        <f t="shared" si="82"/>
        <v>5</v>
      </c>
      <c r="H1004" s="587"/>
      <c r="I1004" s="587">
        <v>20</v>
      </c>
      <c r="J1004" s="587">
        <f t="shared" si="83"/>
        <v>1.288</v>
      </c>
      <c r="K1004" s="587"/>
      <c r="L1004" s="587"/>
      <c r="M1004" s="587">
        <f t="shared" si="85"/>
        <v>5</v>
      </c>
      <c r="N1004" s="587">
        <f t="shared" si="85"/>
        <v>0</v>
      </c>
      <c r="O1004" s="587">
        <f t="shared" si="85"/>
        <v>0</v>
      </c>
      <c r="P1004" s="587">
        <f t="shared" si="84"/>
        <v>0</v>
      </c>
    </row>
    <row r="1005" spans="2:16">
      <c r="B1005" s="587" t="s">
        <v>868</v>
      </c>
      <c r="C1005" s="587" t="s">
        <v>869</v>
      </c>
      <c r="D1005" s="587" t="s">
        <v>871</v>
      </c>
      <c r="E1005" s="587"/>
      <c r="F1005" s="587" t="str">
        <f t="shared" si="81"/>
        <v>Marche à pied (exclusivement sur tout le trajet)</v>
      </c>
      <c r="G1005" s="587">
        <f t="shared" si="82"/>
        <v>7</v>
      </c>
      <c r="H1005" s="587"/>
      <c r="I1005" s="587"/>
      <c r="J1005" s="587">
        <f t="shared" si="83"/>
        <v>0</v>
      </c>
      <c r="K1005" s="587"/>
      <c r="L1005" s="587"/>
      <c r="M1005" s="587">
        <f t="shared" si="85"/>
        <v>7</v>
      </c>
      <c r="N1005" s="587">
        <f t="shared" si="85"/>
        <v>0</v>
      </c>
      <c r="O1005" s="587">
        <f t="shared" si="85"/>
        <v>0</v>
      </c>
      <c r="P1005" s="587">
        <f t="shared" si="84"/>
        <v>0</v>
      </c>
    </row>
    <row r="1006" spans="2:16">
      <c r="B1006" s="587" t="s">
        <v>868</v>
      </c>
      <c r="C1006" s="587" t="s">
        <v>869</v>
      </c>
      <c r="D1006" s="587"/>
      <c r="E1006" s="587" t="s">
        <v>870</v>
      </c>
      <c r="F1006" s="587" t="str">
        <f t="shared" si="81"/>
        <v>Métro</v>
      </c>
      <c r="G1006" s="587">
        <f t="shared" si="82"/>
        <v>1</v>
      </c>
      <c r="H1006" s="587"/>
      <c r="I1006" s="587">
        <v>35</v>
      </c>
      <c r="J1006" s="587">
        <f t="shared" si="83"/>
        <v>4.8833333333333326E-2</v>
      </c>
      <c r="K1006" s="587"/>
      <c r="L1006" s="587"/>
      <c r="M1006" s="587">
        <f t="shared" si="85"/>
        <v>1</v>
      </c>
      <c r="N1006" s="587">
        <f t="shared" si="85"/>
        <v>0</v>
      </c>
      <c r="O1006" s="587">
        <f t="shared" si="85"/>
        <v>0</v>
      </c>
      <c r="P1006" s="587">
        <f t="shared" si="84"/>
        <v>0</v>
      </c>
    </row>
    <row r="1007" spans="2:16">
      <c r="B1007" s="587" t="s">
        <v>868</v>
      </c>
      <c r="C1007" s="587" t="s">
        <v>882</v>
      </c>
      <c r="D1007" s="587"/>
      <c r="E1007" s="587" t="s">
        <v>878</v>
      </c>
      <c r="F1007" s="587" t="str">
        <f t="shared" si="81"/>
        <v>Marche à pied au-delà de 5 minutes</v>
      </c>
      <c r="G1007" s="587">
        <f t="shared" si="82"/>
        <v>7</v>
      </c>
      <c r="H1007" s="587"/>
      <c r="I1007" s="587">
        <v>40</v>
      </c>
      <c r="J1007" s="587">
        <f t="shared" si="83"/>
        <v>0</v>
      </c>
      <c r="K1007" s="587"/>
      <c r="L1007" s="587"/>
      <c r="M1007" s="587">
        <f t="shared" si="85"/>
        <v>0</v>
      </c>
      <c r="N1007" s="587">
        <f t="shared" si="85"/>
        <v>0</v>
      </c>
      <c r="O1007" s="587">
        <f t="shared" si="85"/>
        <v>7</v>
      </c>
      <c r="P1007" s="587">
        <f t="shared" si="84"/>
        <v>0</v>
      </c>
    </row>
    <row r="1008" spans="2:16">
      <c r="B1008" s="587" t="s">
        <v>868</v>
      </c>
      <c r="C1008" s="587" t="s">
        <v>882</v>
      </c>
      <c r="D1008" s="587" t="s">
        <v>873</v>
      </c>
      <c r="E1008" s="587"/>
      <c r="F1008" s="587" t="str">
        <f t="shared" si="81"/>
        <v>Tramway</v>
      </c>
      <c r="G1008" s="587">
        <f t="shared" si="82"/>
        <v>1</v>
      </c>
      <c r="H1008" s="587"/>
      <c r="I1008" s="587">
        <v>45</v>
      </c>
      <c r="J1008" s="587">
        <f t="shared" si="83"/>
        <v>4.8833333333333326E-2</v>
      </c>
      <c r="K1008" s="587"/>
      <c r="L1008" s="587"/>
      <c r="M1008" s="587">
        <f t="shared" si="85"/>
        <v>0</v>
      </c>
      <c r="N1008" s="587">
        <f t="shared" si="85"/>
        <v>0</v>
      </c>
      <c r="O1008" s="587">
        <f t="shared" si="85"/>
        <v>1</v>
      </c>
      <c r="P1008" s="587">
        <f t="shared" si="84"/>
        <v>0</v>
      </c>
    </row>
    <row r="1009" spans="2:16">
      <c r="B1009" s="587" t="s">
        <v>868</v>
      </c>
      <c r="C1009" s="587" t="s">
        <v>869</v>
      </c>
      <c r="D1009" s="587" t="s">
        <v>871</v>
      </c>
      <c r="E1009" s="587"/>
      <c r="F1009" s="587" t="str">
        <f t="shared" si="81"/>
        <v>Marche à pied (exclusivement sur tout le trajet)</v>
      </c>
      <c r="G1009" s="587">
        <f t="shared" si="82"/>
        <v>7</v>
      </c>
      <c r="H1009" s="587"/>
      <c r="I1009" s="587">
        <v>10</v>
      </c>
      <c r="J1009" s="587">
        <f t="shared" si="83"/>
        <v>0</v>
      </c>
      <c r="K1009" s="587"/>
      <c r="L1009" s="587"/>
      <c r="M1009" s="587">
        <f t="shared" si="85"/>
        <v>7</v>
      </c>
      <c r="N1009" s="587">
        <f t="shared" si="85"/>
        <v>0</v>
      </c>
      <c r="O1009" s="587">
        <f t="shared" si="85"/>
        <v>0</v>
      </c>
      <c r="P1009" s="587">
        <f t="shared" si="84"/>
        <v>0</v>
      </c>
    </row>
    <row r="1010" spans="2:16">
      <c r="B1010" s="587" t="s">
        <v>868</v>
      </c>
      <c r="C1010" s="587" t="s">
        <v>882</v>
      </c>
      <c r="D1010" s="587" t="s">
        <v>879</v>
      </c>
      <c r="E1010" s="587"/>
      <c r="F1010" s="587" t="str">
        <f t="shared" si="81"/>
        <v>Voiture (seul(e))</v>
      </c>
      <c r="G1010" s="587">
        <f t="shared" si="82"/>
        <v>3</v>
      </c>
      <c r="H1010" s="587"/>
      <c r="I1010" s="587">
        <v>15</v>
      </c>
      <c r="J1010" s="587">
        <f t="shared" si="83"/>
        <v>2.7600000000000002</v>
      </c>
      <c r="K1010" s="587"/>
      <c r="L1010" s="587"/>
      <c r="M1010" s="587">
        <f t="shared" si="85"/>
        <v>0</v>
      </c>
      <c r="N1010" s="587">
        <f t="shared" si="85"/>
        <v>0</v>
      </c>
      <c r="O1010" s="587">
        <f t="shared" si="85"/>
        <v>3</v>
      </c>
      <c r="P1010" s="587">
        <f t="shared" si="84"/>
        <v>0</v>
      </c>
    </row>
    <row r="1011" spans="2:16">
      <c r="B1011" s="587" t="s">
        <v>868</v>
      </c>
      <c r="C1011" s="587" t="s">
        <v>869</v>
      </c>
      <c r="D1011" s="587"/>
      <c r="E1011" s="587" t="s">
        <v>870</v>
      </c>
      <c r="F1011" s="587" t="str">
        <f t="shared" si="81"/>
        <v>Métro</v>
      </c>
      <c r="G1011" s="587">
        <f t="shared" si="82"/>
        <v>1</v>
      </c>
      <c r="H1011" s="587"/>
      <c r="I1011" s="587">
        <v>30</v>
      </c>
      <c r="J1011" s="587">
        <f t="shared" si="83"/>
        <v>4.8833333333333326E-2</v>
      </c>
      <c r="K1011" s="587"/>
      <c r="L1011" s="587"/>
      <c r="M1011" s="587">
        <f t="shared" si="85"/>
        <v>1</v>
      </c>
      <c r="N1011" s="587">
        <f t="shared" si="85"/>
        <v>0</v>
      </c>
      <c r="O1011" s="587">
        <f t="shared" si="85"/>
        <v>0</v>
      </c>
      <c r="P1011" s="587">
        <f t="shared" si="84"/>
        <v>0</v>
      </c>
    </row>
    <row r="1012" spans="2:16">
      <c r="B1012" s="587" t="s">
        <v>868</v>
      </c>
      <c r="C1012" s="587" t="s">
        <v>875</v>
      </c>
      <c r="D1012" s="587" t="s">
        <v>879</v>
      </c>
      <c r="E1012" s="587"/>
      <c r="F1012" s="587" t="str">
        <f t="shared" si="81"/>
        <v>Voiture (seul(e))</v>
      </c>
      <c r="G1012" s="587">
        <f t="shared" si="82"/>
        <v>3</v>
      </c>
      <c r="H1012" s="587"/>
      <c r="I1012" s="587">
        <v>40</v>
      </c>
      <c r="J1012" s="587">
        <f t="shared" si="83"/>
        <v>2.7600000000000002</v>
      </c>
      <c r="K1012" s="587"/>
      <c r="L1012" s="587"/>
      <c r="M1012" s="587">
        <f t="shared" si="85"/>
        <v>0</v>
      </c>
      <c r="N1012" s="587">
        <f t="shared" si="85"/>
        <v>3</v>
      </c>
      <c r="O1012" s="587">
        <f t="shared" si="85"/>
        <v>0</v>
      </c>
      <c r="P1012" s="587">
        <f t="shared" si="84"/>
        <v>0</v>
      </c>
    </row>
    <row r="1013" spans="2:16">
      <c r="B1013" s="587" t="s">
        <v>868</v>
      </c>
      <c r="C1013" s="587" t="s">
        <v>875</v>
      </c>
      <c r="D1013" s="587" t="s">
        <v>879</v>
      </c>
      <c r="E1013" s="587"/>
      <c r="F1013" s="587" t="str">
        <f t="shared" si="81"/>
        <v>Voiture (seul(e))</v>
      </c>
      <c r="G1013" s="587">
        <f t="shared" si="82"/>
        <v>3</v>
      </c>
      <c r="H1013" s="587"/>
      <c r="I1013" s="587">
        <v>40</v>
      </c>
      <c r="J1013" s="587">
        <f t="shared" si="83"/>
        <v>2.7600000000000002</v>
      </c>
      <c r="K1013" s="587"/>
      <c r="L1013" s="587"/>
      <c r="M1013" s="587">
        <f t="shared" si="85"/>
        <v>0</v>
      </c>
      <c r="N1013" s="587">
        <f t="shared" si="85"/>
        <v>3</v>
      </c>
      <c r="O1013" s="587">
        <f t="shared" si="85"/>
        <v>0</v>
      </c>
      <c r="P1013" s="587">
        <f t="shared" si="84"/>
        <v>0</v>
      </c>
    </row>
    <row r="1014" spans="2:16">
      <c r="B1014" s="587" t="s">
        <v>868</v>
      </c>
      <c r="C1014" s="587" t="s">
        <v>875</v>
      </c>
      <c r="D1014" s="587" t="s">
        <v>870</v>
      </c>
      <c r="E1014" s="587"/>
      <c r="F1014" s="587" t="str">
        <f t="shared" si="81"/>
        <v>Métro</v>
      </c>
      <c r="G1014" s="587">
        <f t="shared" si="82"/>
        <v>1</v>
      </c>
      <c r="H1014" s="587"/>
      <c r="I1014" s="587">
        <v>30</v>
      </c>
      <c r="J1014" s="587">
        <f t="shared" si="83"/>
        <v>4.8833333333333326E-2</v>
      </c>
      <c r="K1014" s="587"/>
      <c r="L1014" s="587"/>
      <c r="M1014" s="587">
        <f t="shared" si="85"/>
        <v>0</v>
      </c>
      <c r="N1014" s="587">
        <f t="shared" si="85"/>
        <v>1</v>
      </c>
      <c r="O1014" s="587">
        <f t="shared" si="85"/>
        <v>0</v>
      </c>
      <c r="P1014" s="587">
        <f t="shared" si="84"/>
        <v>0</v>
      </c>
    </row>
    <row r="1015" spans="2:16">
      <c r="B1015" s="587" t="s">
        <v>868</v>
      </c>
      <c r="C1015" s="587" t="s">
        <v>869</v>
      </c>
      <c r="D1015" s="587" t="s">
        <v>877</v>
      </c>
      <c r="E1015" s="587"/>
      <c r="F1015" s="587" t="str">
        <f t="shared" si="81"/>
        <v>Vélo’v</v>
      </c>
      <c r="G1015" s="587">
        <f t="shared" si="82"/>
        <v>7</v>
      </c>
      <c r="H1015" s="587"/>
      <c r="I1015" s="587">
        <v>25</v>
      </c>
      <c r="J1015" s="587">
        <f t="shared" si="83"/>
        <v>0</v>
      </c>
      <c r="K1015" s="587"/>
      <c r="L1015" s="587"/>
      <c r="M1015" s="587">
        <f t="shared" si="85"/>
        <v>7</v>
      </c>
      <c r="N1015" s="587">
        <f t="shared" si="85"/>
        <v>0</v>
      </c>
      <c r="O1015" s="587">
        <f t="shared" si="85"/>
        <v>0</v>
      </c>
      <c r="P1015" s="587">
        <f t="shared" si="84"/>
        <v>0</v>
      </c>
    </row>
    <row r="1016" spans="2:16">
      <c r="B1016" s="587" t="s">
        <v>868</v>
      </c>
      <c r="C1016" s="587" t="s">
        <v>869</v>
      </c>
      <c r="D1016" s="587"/>
      <c r="E1016" s="587" t="s">
        <v>870</v>
      </c>
      <c r="F1016" s="587" t="str">
        <f t="shared" si="81"/>
        <v>Métro</v>
      </c>
      <c r="G1016" s="587">
        <f t="shared" si="82"/>
        <v>1</v>
      </c>
      <c r="H1016" s="587"/>
      <c r="I1016" s="587">
        <v>30</v>
      </c>
      <c r="J1016" s="587">
        <f t="shared" si="83"/>
        <v>4.8833333333333326E-2</v>
      </c>
      <c r="K1016" s="587"/>
      <c r="L1016" s="587"/>
      <c r="M1016" s="587">
        <f t="shared" si="85"/>
        <v>1</v>
      </c>
      <c r="N1016" s="587">
        <f t="shared" si="85"/>
        <v>0</v>
      </c>
      <c r="O1016" s="587">
        <f t="shared" si="85"/>
        <v>0</v>
      </c>
      <c r="P1016" s="587">
        <f t="shared" si="84"/>
        <v>0</v>
      </c>
    </row>
    <row r="1017" spans="2:16">
      <c r="B1017" s="587" t="s">
        <v>868</v>
      </c>
      <c r="C1017" s="587" t="s">
        <v>882</v>
      </c>
      <c r="D1017" s="587" t="s">
        <v>872</v>
      </c>
      <c r="E1017" s="587"/>
      <c r="F1017" s="587" t="str">
        <f t="shared" si="81"/>
        <v>Vélo personnel (y compris vélo à assistance électrique)</v>
      </c>
      <c r="G1017" s="587">
        <f t="shared" si="82"/>
        <v>7</v>
      </c>
      <c r="H1017" s="587"/>
      <c r="I1017" s="587">
        <v>20</v>
      </c>
      <c r="J1017" s="587">
        <f t="shared" si="83"/>
        <v>0</v>
      </c>
      <c r="K1017" s="587"/>
      <c r="L1017" s="587"/>
      <c r="M1017" s="587">
        <f t="shared" si="85"/>
        <v>0</v>
      </c>
      <c r="N1017" s="587">
        <f t="shared" si="85"/>
        <v>0</v>
      </c>
      <c r="O1017" s="587">
        <f t="shared" si="85"/>
        <v>7</v>
      </c>
      <c r="P1017" s="587">
        <f t="shared" si="84"/>
        <v>0</v>
      </c>
    </row>
    <row r="1018" spans="2:16">
      <c r="B1018" s="587" t="s">
        <v>868</v>
      </c>
      <c r="C1018" s="587" t="s">
        <v>882</v>
      </c>
      <c r="D1018" s="587" t="s">
        <v>880</v>
      </c>
      <c r="E1018" s="587"/>
      <c r="F1018" s="587" t="str">
        <f t="shared" si="81"/>
        <v>Train (TER,TGV,...)</v>
      </c>
      <c r="G1018" s="587">
        <f t="shared" si="82"/>
        <v>6</v>
      </c>
      <c r="H1018" s="587"/>
      <c r="I1018" s="587">
        <v>90</v>
      </c>
      <c r="J1018" s="587">
        <f t="shared" si="83"/>
        <v>0.34600000000000003</v>
      </c>
      <c r="K1018" s="587"/>
      <c r="L1018" s="587"/>
      <c r="M1018" s="587">
        <f t="shared" si="85"/>
        <v>0</v>
      </c>
      <c r="N1018" s="587">
        <f t="shared" si="85"/>
        <v>0</v>
      </c>
      <c r="O1018" s="587">
        <f t="shared" si="85"/>
        <v>6</v>
      </c>
      <c r="P1018" s="587">
        <f t="shared" si="84"/>
        <v>0</v>
      </c>
    </row>
    <row r="1019" spans="2:16">
      <c r="B1019" s="587" t="s">
        <v>868</v>
      </c>
      <c r="C1019" s="587" t="s">
        <v>882</v>
      </c>
      <c r="D1019" s="587" t="s">
        <v>871</v>
      </c>
      <c r="E1019" s="587"/>
      <c r="F1019" s="587" t="str">
        <f t="shared" si="81"/>
        <v>Marche à pied (exclusivement sur tout le trajet)</v>
      </c>
      <c r="G1019" s="587">
        <f t="shared" si="82"/>
        <v>7</v>
      </c>
      <c r="H1019" s="587"/>
      <c r="I1019" s="587">
        <v>15</v>
      </c>
      <c r="J1019" s="587">
        <f t="shared" si="83"/>
        <v>0</v>
      </c>
      <c r="K1019" s="587"/>
      <c r="L1019" s="587"/>
      <c r="M1019" s="587">
        <f t="shared" si="85"/>
        <v>0</v>
      </c>
      <c r="N1019" s="587">
        <f t="shared" si="85"/>
        <v>0</v>
      </c>
      <c r="O1019" s="587">
        <f t="shared" si="85"/>
        <v>7</v>
      </c>
      <c r="P1019" s="587">
        <f t="shared" si="84"/>
        <v>0</v>
      </c>
    </row>
    <row r="1020" spans="2:16">
      <c r="B1020" s="587" t="s">
        <v>868</v>
      </c>
      <c r="C1020" s="587" t="s">
        <v>869</v>
      </c>
      <c r="D1020" s="587" t="s">
        <v>871</v>
      </c>
      <c r="E1020" s="587"/>
      <c r="F1020" s="587" t="str">
        <f t="shared" ref="F1020:F1083" si="86">IF(D1020="",E1020,D1020)</f>
        <v>Marche à pied (exclusivement sur tout le trajet)</v>
      </c>
      <c r="G1020" s="587">
        <f t="shared" ref="G1020:G1083" si="87">IF(F1020="Métro",1,IF(F1020="Tramway",1,IF(F1020="Vélo'v",7,IF(F1020="Marche à pied (exclusivement sur tout le trajet)",7,IF(F1020="Vélo personnel (y compris vélo à assistance électrique)",7,IF(F1020="Trottinette, roller, skateboard,…",7,IF(F1020="Marche à pied au-delà de 5 minutes",7,IF(F1020="Voiture (seul(e))",3,IF(F1020="Bus",2,IF(F1020="Trottinette, roller, skateboard au-delà de 5 minutes",7,IF(F1020="Covoiturage (passager(ère))",4,IF(F1020="Trottinette, roller, skateboard,...",7,IF(F1020="Vélo’v",7,IF(F1020="Train (TER,TGV,...)",6,IF(F1020="Deux roues motorisées (moto, scooter, mobylette,…)",5,IF(F1020="Covoiturage (conducteur(trice))",4,IF(F1020="Train (TER,..)",6,0)))))))))))))))))</f>
        <v>7</v>
      </c>
      <c r="H1020" s="587"/>
      <c r="I1020" s="587">
        <v>7</v>
      </c>
      <c r="J1020" s="587">
        <f t="shared" ref="J1020:J1083" si="88">IF(G1020=1,$C$6*($I$28*$K$6)/$J$6,IF(G1020=2,$C$7*($I$28*$K$7)/$J$7,IF(G1020=3,$C$8*$I$28*$K$8/$J$8,IF(G1020=4,$C$9*$I$28*$K$9/$J$9,IF(G1020=5,$C$10*$I$28*$K$10/$J$10,IF(G1020=6,$C$11*$K$11*$I$28/$J$11,0))))))</f>
        <v>0</v>
      </c>
      <c r="K1020" s="587"/>
      <c r="L1020" s="587"/>
      <c r="M1020" s="587">
        <f t="shared" si="85"/>
        <v>7</v>
      </c>
      <c r="N1020" s="587">
        <f t="shared" si="85"/>
        <v>0</v>
      </c>
      <c r="O1020" s="587">
        <f t="shared" si="85"/>
        <v>0</v>
      </c>
      <c r="P1020" s="587">
        <f t="shared" si="84"/>
        <v>0</v>
      </c>
    </row>
    <row r="1021" spans="2:16">
      <c r="B1021" s="587" t="s">
        <v>868</v>
      </c>
      <c r="C1021" s="587" t="s">
        <v>869</v>
      </c>
      <c r="D1021" s="587" t="s">
        <v>877</v>
      </c>
      <c r="E1021" s="587"/>
      <c r="F1021" s="587" t="str">
        <f t="shared" si="86"/>
        <v>Vélo’v</v>
      </c>
      <c r="G1021" s="587">
        <f t="shared" si="87"/>
        <v>7</v>
      </c>
      <c r="H1021" s="587"/>
      <c r="I1021" s="587">
        <v>15</v>
      </c>
      <c r="J1021" s="587">
        <f t="shared" si="88"/>
        <v>0</v>
      </c>
      <c r="K1021" s="587"/>
      <c r="L1021" s="587"/>
      <c r="M1021" s="587">
        <f t="shared" si="85"/>
        <v>7</v>
      </c>
      <c r="N1021" s="587">
        <f t="shared" si="85"/>
        <v>0</v>
      </c>
      <c r="O1021" s="587">
        <f t="shared" si="85"/>
        <v>0</v>
      </c>
      <c r="P1021" s="587">
        <f t="shared" si="84"/>
        <v>0</v>
      </c>
    </row>
    <row r="1022" spans="2:16">
      <c r="B1022" s="587" t="s">
        <v>868</v>
      </c>
      <c r="C1022" s="587" t="s">
        <v>35</v>
      </c>
      <c r="D1022" s="587" t="s">
        <v>871</v>
      </c>
      <c r="E1022" s="587"/>
      <c r="F1022" s="587" t="str">
        <f t="shared" si="86"/>
        <v>Marche à pied (exclusivement sur tout le trajet)</v>
      </c>
      <c r="G1022" s="587">
        <f t="shared" si="87"/>
        <v>7</v>
      </c>
      <c r="H1022" s="587"/>
      <c r="I1022" s="587">
        <v>5</v>
      </c>
      <c r="J1022" s="587">
        <f t="shared" si="88"/>
        <v>0</v>
      </c>
      <c r="K1022" s="587"/>
      <c r="L1022" s="587"/>
      <c r="M1022" s="587">
        <f t="shared" si="85"/>
        <v>0</v>
      </c>
      <c r="N1022" s="587">
        <f t="shared" si="85"/>
        <v>0</v>
      </c>
      <c r="O1022" s="587">
        <f t="shared" si="85"/>
        <v>0</v>
      </c>
      <c r="P1022" s="587">
        <f t="shared" si="84"/>
        <v>7</v>
      </c>
    </row>
    <row r="1023" spans="2:16">
      <c r="B1023" s="587" t="s">
        <v>868</v>
      </c>
      <c r="C1023" s="587" t="s">
        <v>882</v>
      </c>
      <c r="D1023" s="587"/>
      <c r="E1023" s="587" t="s">
        <v>870</v>
      </c>
      <c r="F1023" s="587" t="str">
        <f t="shared" si="86"/>
        <v>Métro</v>
      </c>
      <c r="G1023" s="587">
        <f t="shared" si="87"/>
        <v>1</v>
      </c>
      <c r="H1023" s="587"/>
      <c r="I1023" s="587">
        <v>40</v>
      </c>
      <c r="J1023" s="587">
        <f t="shared" si="88"/>
        <v>4.8833333333333326E-2</v>
      </c>
      <c r="K1023" s="587"/>
      <c r="L1023" s="587"/>
      <c r="M1023" s="587">
        <f t="shared" si="85"/>
        <v>0</v>
      </c>
      <c r="N1023" s="587">
        <f t="shared" si="85"/>
        <v>0</v>
      </c>
      <c r="O1023" s="587">
        <f t="shared" si="85"/>
        <v>1</v>
      </c>
      <c r="P1023" s="587">
        <f t="shared" si="84"/>
        <v>0</v>
      </c>
    </row>
    <row r="1024" spans="2:16">
      <c r="B1024" s="587" t="s">
        <v>868</v>
      </c>
      <c r="C1024" s="587" t="s">
        <v>869</v>
      </c>
      <c r="D1024" s="587" t="s">
        <v>872</v>
      </c>
      <c r="E1024" s="587"/>
      <c r="F1024" s="587" t="str">
        <f t="shared" si="86"/>
        <v>Vélo personnel (y compris vélo à assistance électrique)</v>
      </c>
      <c r="G1024" s="587">
        <f t="shared" si="87"/>
        <v>7</v>
      </c>
      <c r="H1024" s="587"/>
      <c r="I1024" s="587">
        <v>5</v>
      </c>
      <c r="J1024" s="587">
        <f t="shared" si="88"/>
        <v>0</v>
      </c>
      <c r="K1024" s="587"/>
      <c r="L1024" s="587"/>
      <c r="M1024" s="587">
        <f t="shared" si="85"/>
        <v>7</v>
      </c>
      <c r="N1024" s="587">
        <f t="shared" si="85"/>
        <v>0</v>
      </c>
      <c r="O1024" s="587">
        <f t="shared" si="85"/>
        <v>0</v>
      </c>
      <c r="P1024" s="587">
        <f t="shared" si="84"/>
        <v>0</v>
      </c>
    </row>
    <row r="1025" spans="2:16">
      <c r="B1025" s="587" t="s">
        <v>868</v>
      </c>
      <c r="C1025" s="587" t="s">
        <v>869</v>
      </c>
      <c r="D1025" s="587" t="s">
        <v>871</v>
      </c>
      <c r="E1025" s="587"/>
      <c r="F1025" s="587" t="str">
        <f t="shared" si="86"/>
        <v>Marche à pied (exclusivement sur tout le trajet)</v>
      </c>
      <c r="G1025" s="587">
        <f t="shared" si="87"/>
        <v>7</v>
      </c>
      <c r="H1025" s="587"/>
      <c r="I1025" s="587">
        <v>10</v>
      </c>
      <c r="J1025" s="587">
        <f t="shared" si="88"/>
        <v>0</v>
      </c>
      <c r="K1025" s="587"/>
      <c r="L1025" s="587"/>
      <c r="M1025" s="587">
        <f t="shared" si="85"/>
        <v>7</v>
      </c>
      <c r="N1025" s="587">
        <f t="shared" si="85"/>
        <v>0</v>
      </c>
      <c r="O1025" s="587">
        <f t="shared" si="85"/>
        <v>0</v>
      </c>
      <c r="P1025" s="587">
        <f t="shared" si="84"/>
        <v>0</v>
      </c>
    </row>
    <row r="1026" spans="2:16">
      <c r="B1026" s="587" t="s">
        <v>868</v>
      </c>
      <c r="C1026" s="587" t="s">
        <v>869</v>
      </c>
      <c r="D1026" s="587"/>
      <c r="E1026" s="587" t="s">
        <v>873</v>
      </c>
      <c r="F1026" s="587" t="str">
        <f t="shared" si="86"/>
        <v>Tramway</v>
      </c>
      <c r="G1026" s="587">
        <f t="shared" si="87"/>
        <v>1</v>
      </c>
      <c r="H1026" s="587"/>
      <c r="I1026" s="587">
        <v>45</v>
      </c>
      <c r="J1026" s="587">
        <f t="shared" si="88"/>
        <v>4.8833333333333326E-2</v>
      </c>
      <c r="K1026" s="587"/>
      <c r="L1026" s="587"/>
      <c r="M1026" s="587">
        <f t="shared" si="85"/>
        <v>1</v>
      </c>
      <c r="N1026" s="587">
        <f t="shared" si="85"/>
        <v>0</v>
      </c>
      <c r="O1026" s="587">
        <f t="shared" si="85"/>
        <v>0</v>
      </c>
      <c r="P1026" s="587">
        <f t="shared" si="84"/>
        <v>0</v>
      </c>
    </row>
    <row r="1027" spans="2:16">
      <c r="B1027" s="587" t="s">
        <v>868</v>
      </c>
      <c r="C1027" s="587" t="s">
        <v>869</v>
      </c>
      <c r="D1027" s="587" t="s">
        <v>871</v>
      </c>
      <c r="E1027" s="587"/>
      <c r="F1027" s="587" t="str">
        <f t="shared" si="86"/>
        <v>Marche à pied (exclusivement sur tout le trajet)</v>
      </c>
      <c r="G1027" s="587">
        <f t="shared" si="87"/>
        <v>7</v>
      </c>
      <c r="H1027" s="587"/>
      <c r="I1027" s="587">
        <v>7</v>
      </c>
      <c r="J1027" s="587">
        <f t="shared" si="88"/>
        <v>0</v>
      </c>
      <c r="K1027" s="587"/>
      <c r="L1027" s="587"/>
      <c r="M1027" s="587">
        <f t="shared" si="85"/>
        <v>7</v>
      </c>
      <c r="N1027" s="587">
        <f t="shared" si="85"/>
        <v>0</v>
      </c>
      <c r="O1027" s="587">
        <f t="shared" si="85"/>
        <v>0</v>
      </c>
      <c r="P1027" s="587">
        <f t="shared" si="84"/>
        <v>0</v>
      </c>
    </row>
    <row r="1028" spans="2:16">
      <c r="B1028" s="587" t="s">
        <v>868</v>
      </c>
      <c r="C1028" s="587" t="s">
        <v>869</v>
      </c>
      <c r="D1028" s="587"/>
      <c r="E1028" s="587" t="s">
        <v>870</v>
      </c>
      <c r="F1028" s="587" t="str">
        <f t="shared" si="86"/>
        <v>Métro</v>
      </c>
      <c r="G1028" s="587">
        <f t="shared" si="87"/>
        <v>1</v>
      </c>
      <c r="H1028" s="587"/>
      <c r="I1028" s="587">
        <v>25</v>
      </c>
      <c r="J1028" s="587">
        <f t="shared" si="88"/>
        <v>4.8833333333333326E-2</v>
      </c>
      <c r="K1028" s="587"/>
      <c r="L1028" s="587"/>
      <c r="M1028" s="587">
        <f t="shared" si="85"/>
        <v>1</v>
      </c>
      <c r="N1028" s="587">
        <f t="shared" si="85"/>
        <v>0</v>
      </c>
      <c r="O1028" s="587">
        <f t="shared" si="85"/>
        <v>0</v>
      </c>
      <c r="P1028" s="587">
        <f t="shared" si="84"/>
        <v>0</v>
      </c>
    </row>
    <row r="1029" spans="2:16">
      <c r="B1029" s="587" t="s">
        <v>868</v>
      </c>
      <c r="C1029" s="587" t="s">
        <v>869</v>
      </c>
      <c r="D1029" s="587" t="s">
        <v>871</v>
      </c>
      <c r="E1029" s="587"/>
      <c r="F1029" s="587" t="str">
        <f t="shared" si="86"/>
        <v>Marche à pied (exclusivement sur tout le trajet)</v>
      </c>
      <c r="G1029" s="587">
        <f t="shared" si="87"/>
        <v>7</v>
      </c>
      <c r="H1029" s="587"/>
      <c r="I1029" s="587">
        <v>5</v>
      </c>
      <c r="J1029" s="587">
        <f t="shared" si="88"/>
        <v>0</v>
      </c>
      <c r="K1029" s="587"/>
      <c r="L1029" s="587"/>
      <c r="M1029" s="587">
        <f t="shared" si="85"/>
        <v>7</v>
      </c>
      <c r="N1029" s="587">
        <f t="shared" si="85"/>
        <v>0</v>
      </c>
      <c r="O1029" s="587">
        <f t="shared" si="85"/>
        <v>0</v>
      </c>
      <c r="P1029" s="587">
        <f t="shared" si="84"/>
        <v>0</v>
      </c>
    </row>
    <row r="1030" spans="2:16">
      <c r="B1030" s="587" t="s">
        <v>868</v>
      </c>
      <c r="C1030" s="587" t="s">
        <v>875</v>
      </c>
      <c r="D1030" s="587" t="s">
        <v>871</v>
      </c>
      <c r="E1030" s="587"/>
      <c r="F1030" s="587" t="str">
        <f t="shared" si="86"/>
        <v>Marche à pied (exclusivement sur tout le trajet)</v>
      </c>
      <c r="G1030" s="587">
        <f t="shared" si="87"/>
        <v>7</v>
      </c>
      <c r="H1030" s="587"/>
      <c r="I1030" s="587">
        <v>20</v>
      </c>
      <c r="J1030" s="587">
        <f t="shared" si="88"/>
        <v>0</v>
      </c>
      <c r="K1030" s="587"/>
      <c r="L1030" s="587"/>
      <c r="M1030" s="587">
        <f t="shared" si="85"/>
        <v>0</v>
      </c>
      <c r="N1030" s="587">
        <f t="shared" si="85"/>
        <v>7</v>
      </c>
      <c r="O1030" s="587">
        <f t="shared" si="85"/>
        <v>0</v>
      </c>
      <c r="P1030" s="587">
        <f t="shared" si="84"/>
        <v>0</v>
      </c>
    </row>
    <row r="1031" spans="2:16">
      <c r="B1031" s="587" t="s">
        <v>868</v>
      </c>
      <c r="C1031" s="587" t="s">
        <v>875</v>
      </c>
      <c r="D1031" s="587" t="s">
        <v>879</v>
      </c>
      <c r="E1031" s="587"/>
      <c r="F1031" s="587" t="str">
        <f t="shared" si="86"/>
        <v>Voiture (seul(e))</v>
      </c>
      <c r="G1031" s="587">
        <f t="shared" si="87"/>
        <v>3</v>
      </c>
      <c r="H1031" s="587"/>
      <c r="I1031" s="587">
        <v>45</v>
      </c>
      <c r="J1031" s="587">
        <f t="shared" si="88"/>
        <v>2.7600000000000002</v>
      </c>
      <c r="K1031" s="587"/>
      <c r="L1031" s="587"/>
      <c r="M1031" s="587">
        <f t="shared" si="85"/>
        <v>0</v>
      </c>
      <c r="N1031" s="587">
        <f t="shared" si="85"/>
        <v>3</v>
      </c>
      <c r="O1031" s="587">
        <f t="shared" si="85"/>
        <v>0</v>
      </c>
      <c r="P1031" s="587">
        <f t="shared" si="84"/>
        <v>0</v>
      </c>
    </row>
    <row r="1032" spans="2:16">
      <c r="B1032" s="587" t="s">
        <v>868</v>
      </c>
      <c r="C1032" s="587" t="s">
        <v>869</v>
      </c>
      <c r="D1032" s="587" t="s">
        <v>871</v>
      </c>
      <c r="E1032" s="587"/>
      <c r="F1032" s="587" t="str">
        <f t="shared" si="86"/>
        <v>Marche à pied (exclusivement sur tout le trajet)</v>
      </c>
      <c r="G1032" s="587">
        <f t="shared" si="87"/>
        <v>7</v>
      </c>
      <c r="H1032" s="587"/>
      <c r="I1032" s="587">
        <v>5</v>
      </c>
      <c r="J1032" s="587">
        <f t="shared" si="88"/>
        <v>0</v>
      </c>
      <c r="K1032" s="587"/>
      <c r="L1032" s="587"/>
      <c r="M1032" s="587">
        <f t="shared" si="85"/>
        <v>7</v>
      </c>
      <c r="N1032" s="587">
        <f t="shared" si="85"/>
        <v>0</v>
      </c>
      <c r="O1032" s="587">
        <f t="shared" si="85"/>
        <v>0</v>
      </c>
      <c r="P1032" s="587">
        <f t="shared" si="84"/>
        <v>0</v>
      </c>
    </row>
    <row r="1033" spans="2:16">
      <c r="B1033" s="587" t="s">
        <v>868</v>
      </c>
      <c r="C1033" s="587" t="s">
        <v>869</v>
      </c>
      <c r="D1033" s="587" t="s">
        <v>871</v>
      </c>
      <c r="E1033" s="587"/>
      <c r="F1033" s="587" t="str">
        <f t="shared" si="86"/>
        <v>Marche à pied (exclusivement sur tout le trajet)</v>
      </c>
      <c r="G1033" s="587">
        <f t="shared" si="87"/>
        <v>7</v>
      </c>
      <c r="H1033" s="587"/>
      <c r="I1033" s="587">
        <v>4</v>
      </c>
      <c r="J1033" s="587">
        <f t="shared" si="88"/>
        <v>0</v>
      </c>
      <c r="K1033" s="587"/>
      <c r="L1033" s="587"/>
      <c r="M1033" s="587">
        <f t="shared" si="85"/>
        <v>7</v>
      </c>
      <c r="N1033" s="587">
        <f t="shared" si="85"/>
        <v>0</v>
      </c>
      <c r="O1033" s="587">
        <f t="shared" si="85"/>
        <v>0</v>
      </c>
      <c r="P1033" s="587">
        <f t="shared" si="84"/>
        <v>0</v>
      </c>
    </row>
    <row r="1034" spans="2:16">
      <c r="B1034" s="587" t="s">
        <v>868</v>
      </c>
      <c r="C1034" s="587" t="s">
        <v>875</v>
      </c>
      <c r="D1034" s="587" t="s">
        <v>872</v>
      </c>
      <c r="E1034" s="587"/>
      <c r="F1034" s="587" t="str">
        <f t="shared" si="86"/>
        <v>Vélo personnel (y compris vélo à assistance électrique)</v>
      </c>
      <c r="G1034" s="587">
        <f t="shared" si="87"/>
        <v>7</v>
      </c>
      <c r="H1034" s="587"/>
      <c r="I1034" s="587">
        <v>10</v>
      </c>
      <c r="J1034" s="587">
        <f t="shared" si="88"/>
        <v>0</v>
      </c>
      <c r="K1034" s="587"/>
      <c r="L1034" s="587"/>
      <c r="M1034" s="587">
        <f t="shared" si="85"/>
        <v>0</v>
      </c>
      <c r="N1034" s="587">
        <f t="shared" si="85"/>
        <v>7</v>
      </c>
      <c r="O1034" s="587">
        <f t="shared" si="85"/>
        <v>0</v>
      </c>
      <c r="P1034" s="587">
        <f t="shared" si="84"/>
        <v>0</v>
      </c>
    </row>
    <row r="1035" spans="2:16">
      <c r="B1035" s="587" t="s">
        <v>868</v>
      </c>
      <c r="C1035" s="587" t="s">
        <v>869</v>
      </c>
      <c r="D1035" s="587"/>
      <c r="E1035" s="587" t="s">
        <v>878</v>
      </c>
      <c r="F1035" s="587" t="str">
        <f t="shared" si="86"/>
        <v>Marche à pied au-delà de 5 minutes</v>
      </c>
      <c r="G1035" s="587">
        <f t="shared" si="87"/>
        <v>7</v>
      </c>
      <c r="H1035" s="587"/>
      <c r="I1035" s="587">
        <v>30</v>
      </c>
      <c r="J1035" s="587">
        <f t="shared" si="88"/>
        <v>0</v>
      </c>
      <c r="K1035" s="587"/>
      <c r="L1035" s="587"/>
      <c r="M1035" s="587">
        <f t="shared" si="85"/>
        <v>7</v>
      </c>
      <c r="N1035" s="587">
        <f t="shared" si="85"/>
        <v>0</v>
      </c>
      <c r="O1035" s="587">
        <f t="shared" si="85"/>
        <v>0</v>
      </c>
      <c r="P1035" s="587">
        <f t="shared" si="84"/>
        <v>0</v>
      </c>
    </row>
    <row r="1036" spans="2:16">
      <c r="B1036" s="587" t="s">
        <v>868</v>
      </c>
      <c r="C1036" s="587" t="s">
        <v>875</v>
      </c>
      <c r="D1036" s="587"/>
      <c r="E1036" s="587" t="s">
        <v>848</v>
      </c>
      <c r="F1036" s="587" t="str">
        <f t="shared" si="86"/>
        <v>Bus</v>
      </c>
      <c r="G1036" s="587">
        <f t="shared" si="87"/>
        <v>2</v>
      </c>
      <c r="H1036" s="587"/>
      <c r="I1036" s="587">
        <v>40</v>
      </c>
      <c r="J1036" s="587">
        <f t="shared" si="88"/>
        <v>1.29</v>
      </c>
      <c r="K1036" s="587"/>
      <c r="L1036" s="587"/>
      <c r="M1036" s="587">
        <f t="shared" si="85"/>
        <v>0</v>
      </c>
      <c r="N1036" s="587">
        <f t="shared" si="85"/>
        <v>2</v>
      </c>
      <c r="O1036" s="587">
        <f t="shared" si="85"/>
        <v>0</v>
      </c>
      <c r="P1036" s="587">
        <f t="shared" si="84"/>
        <v>0</v>
      </c>
    </row>
    <row r="1037" spans="2:16">
      <c r="B1037" s="587" t="s">
        <v>868</v>
      </c>
      <c r="C1037" s="587" t="s">
        <v>882</v>
      </c>
      <c r="D1037" s="587" t="s">
        <v>871</v>
      </c>
      <c r="E1037" s="587"/>
      <c r="F1037" s="587" t="str">
        <f t="shared" si="86"/>
        <v>Marche à pied (exclusivement sur tout le trajet)</v>
      </c>
      <c r="G1037" s="587">
        <f t="shared" si="87"/>
        <v>7</v>
      </c>
      <c r="H1037" s="587"/>
      <c r="I1037" s="587">
        <v>30</v>
      </c>
      <c r="J1037" s="587">
        <f t="shared" si="88"/>
        <v>0</v>
      </c>
      <c r="K1037" s="587"/>
      <c r="L1037" s="587"/>
      <c r="M1037" s="587">
        <f t="shared" si="85"/>
        <v>0</v>
      </c>
      <c r="N1037" s="587">
        <f t="shared" si="85"/>
        <v>0</v>
      </c>
      <c r="O1037" s="587">
        <f t="shared" si="85"/>
        <v>7</v>
      </c>
      <c r="P1037" s="587">
        <f t="shared" si="84"/>
        <v>0</v>
      </c>
    </row>
    <row r="1038" spans="2:16">
      <c r="B1038" s="587" t="s">
        <v>868</v>
      </c>
      <c r="C1038" s="587" t="s">
        <v>869</v>
      </c>
      <c r="D1038" s="587"/>
      <c r="E1038" s="587" t="s">
        <v>870</v>
      </c>
      <c r="F1038" s="587" t="str">
        <f t="shared" si="86"/>
        <v>Métro</v>
      </c>
      <c r="G1038" s="587">
        <f t="shared" si="87"/>
        <v>1</v>
      </c>
      <c r="H1038" s="587"/>
      <c r="I1038" s="587">
        <v>30</v>
      </c>
      <c r="J1038" s="587">
        <f t="shared" si="88"/>
        <v>4.8833333333333326E-2</v>
      </c>
      <c r="K1038" s="587"/>
      <c r="L1038" s="587"/>
      <c r="M1038" s="587">
        <f t="shared" si="85"/>
        <v>1</v>
      </c>
      <c r="N1038" s="587">
        <f t="shared" si="85"/>
        <v>0</v>
      </c>
      <c r="O1038" s="587">
        <f t="shared" si="85"/>
        <v>0</v>
      </c>
      <c r="P1038" s="587">
        <f t="shared" si="84"/>
        <v>0</v>
      </c>
    </row>
    <row r="1039" spans="2:16">
      <c r="B1039" s="587" t="s">
        <v>868</v>
      </c>
      <c r="C1039" s="587" t="s">
        <v>875</v>
      </c>
      <c r="D1039" s="587" t="s">
        <v>872</v>
      </c>
      <c r="E1039" s="587"/>
      <c r="F1039" s="587" t="str">
        <f t="shared" si="86"/>
        <v>Vélo personnel (y compris vélo à assistance électrique)</v>
      </c>
      <c r="G1039" s="587">
        <f t="shared" si="87"/>
        <v>7</v>
      </c>
      <c r="H1039" s="587"/>
      <c r="I1039" s="587">
        <v>25</v>
      </c>
      <c r="J1039" s="587">
        <f t="shared" si="88"/>
        <v>0</v>
      </c>
      <c r="K1039" s="587"/>
      <c r="L1039" s="587"/>
      <c r="M1039" s="587">
        <f t="shared" si="85"/>
        <v>0</v>
      </c>
      <c r="N1039" s="587">
        <f t="shared" si="85"/>
        <v>7</v>
      </c>
      <c r="O1039" s="587">
        <f t="shared" si="85"/>
        <v>0</v>
      </c>
      <c r="P1039" s="587">
        <f t="shared" si="84"/>
        <v>0</v>
      </c>
    </row>
    <row r="1040" spans="2:16">
      <c r="B1040" s="587" t="s">
        <v>868</v>
      </c>
      <c r="C1040" s="587" t="s">
        <v>869</v>
      </c>
      <c r="D1040" s="587" t="s">
        <v>872</v>
      </c>
      <c r="E1040" s="587"/>
      <c r="F1040" s="587" t="str">
        <f t="shared" si="86"/>
        <v>Vélo personnel (y compris vélo à assistance électrique)</v>
      </c>
      <c r="G1040" s="587">
        <f t="shared" si="87"/>
        <v>7</v>
      </c>
      <c r="H1040" s="587"/>
      <c r="I1040" s="587">
        <v>5</v>
      </c>
      <c r="J1040" s="587">
        <f t="shared" si="88"/>
        <v>0</v>
      </c>
      <c r="K1040" s="587"/>
      <c r="L1040" s="587"/>
      <c r="M1040" s="587">
        <f t="shared" si="85"/>
        <v>7</v>
      </c>
      <c r="N1040" s="587">
        <f t="shared" si="85"/>
        <v>0</v>
      </c>
      <c r="O1040" s="587">
        <f t="shared" si="85"/>
        <v>0</v>
      </c>
      <c r="P1040" s="587">
        <f t="shared" si="84"/>
        <v>0</v>
      </c>
    </row>
    <row r="1041" spans="2:16">
      <c r="B1041" s="587" t="s">
        <v>868</v>
      </c>
      <c r="C1041" s="587" t="s">
        <v>869</v>
      </c>
      <c r="D1041" s="587" t="s">
        <v>871</v>
      </c>
      <c r="E1041" s="587"/>
      <c r="F1041" s="587" t="str">
        <f t="shared" si="86"/>
        <v>Marche à pied (exclusivement sur tout le trajet)</v>
      </c>
      <c r="G1041" s="587">
        <f t="shared" si="87"/>
        <v>7</v>
      </c>
      <c r="H1041" s="587"/>
      <c r="I1041" s="587">
        <v>5</v>
      </c>
      <c r="J1041" s="587">
        <f t="shared" si="88"/>
        <v>0</v>
      </c>
      <c r="K1041" s="587"/>
      <c r="L1041" s="587"/>
      <c r="M1041" s="587">
        <f t="shared" si="85"/>
        <v>7</v>
      </c>
      <c r="N1041" s="587">
        <f t="shared" si="85"/>
        <v>0</v>
      </c>
      <c r="O1041" s="587">
        <f t="shared" si="85"/>
        <v>0</v>
      </c>
      <c r="P1041" s="587">
        <f t="shared" si="84"/>
        <v>0</v>
      </c>
    </row>
    <row r="1042" spans="2:16">
      <c r="B1042" s="587" t="s">
        <v>868</v>
      </c>
      <c r="C1042" s="587" t="s">
        <v>869</v>
      </c>
      <c r="D1042" s="587" t="s">
        <v>871</v>
      </c>
      <c r="E1042" s="587"/>
      <c r="F1042" s="587" t="str">
        <f t="shared" si="86"/>
        <v>Marche à pied (exclusivement sur tout le trajet)</v>
      </c>
      <c r="G1042" s="587">
        <f t="shared" si="87"/>
        <v>7</v>
      </c>
      <c r="H1042" s="587"/>
      <c r="I1042" s="587">
        <v>2</v>
      </c>
      <c r="J1042" s="587">
        <f t="shared" si="88"/>
        <v>0</v>
      </c>
      <c r="K1042" s="587"/>
      <c r="L1042" s="587"/>
      <c r="M1042" s="587">
        <f t="shared" si="85"/>
        <v>7</v>
      </c>
      <c r="N1042" s="587">
        <f t="shared" si="85"/>
        <v>0</v>
      </c>
      <c r="O1042" s="587">
        <f t="shared" si="85"/>
        <v>0</v>
      </c>
      <c r="P1042" s="587">
        <f t="shared" si="84"/>
        <v>0</v>
      </c>
    </row>
    <row r="1043" spans="2:16">
      <c r="B1043" s="587" t="s">
        <v>868</v>
      </c>
      <c r="C1043" s="587" t="s">
        <v>882</v>
      </c>
      <c r="D1043" s="587" t="s">
        <v>879</v>
      </c>
      <c r="E1043" s="587"/>
      <c r="F1043" s="587" t="str">
        <f t="shared" si="86"/>
        <v>Voiture (seul(e))</v>
      </c>
      <c r="G1043" s="587">
        <f t="shared" si="87"/>
        <v>3</v>
      </c>
      <c r="H1043" s="587"/>
      <c r="I1043" s="587">
        <v>15</v>
      </c>
      <c r="J1043" s="587">
        <f t="shared" si="88"/>
        <v>2.7600000000000002</v>
      </c>
      <c r="K1043" s="587"/>
      <c r="L1043" s="587"/>
      <c r="M1043" s="587">
        <f t="shared" si="85"/>
        <v>0</v>
      </c>
      <c r="N1043" s="587">
        <f t="shared" si="85"/>
        <v>0</v>
      </c>
      <c r="O1043" s="587">
        <f t="shared" si="85"/>
        <v>3</v>
      </c>
      <c r="P1043" s="587">
        <f t="shared" si="84"/>
        <v>0</v>
      </c>
    </row>
    <row r="1044" spans="2:16">
      <c r="B1044" s="587" t="s">
        <v>868</v>
      </c>
      <c r="C1044" s="587" t="s">
        <v>875</v>
      </c>
      <c r="D1044" s="587" t="s">
        <v>879</v>
      </c>
      <c r="E1044" s="587"/>
      <c r="F1044" s="587" t="str">
        <f t="shared" si="86"/>
        <v>Voiture (seul(e))</v>
      </c>
      <c r="G1044" s="587">
        <f t="shared" si="87"/>
        <v>3</v>
      </c>
      <c r="H1044" s="587"/>
      <c r="I1044" s="587">
        <v>15</v>
      </c>
      <c r="J1044" s="587">
        <f t="shared" si="88"/>
        <v>2.7600000000000002</v>
      </c>
      <c r="K1044" s="587"/>
      <c r="L1044" s="587"/>
      <c r="M1044" s="587">
        <f t="shared" si="85"/>
        <v>0</v>
      </c>
      <c r="N1044" s="587">
        <f t="shared" si="85"/>
        <v>3</v>
      </c>
      <c r="O1044" s="587">
        <f t="shared" si="85"/>
        <v>0</v>
      </c>
      <c r="P1044" s="587">
        <f t="shared" si="84"/>
        <v>0</v>
      </c>
    </row>
    <row r="1045" spans="2:16">
      <c r="B1045" s="587" t="s">
        <v>868</v>
      </c>
      <c r="C1045" s="587" t="s">
        <v>869</v>
      </c>
      <c r="D1045" s="587" t="s">
        <v>871</v>
      </c>
      <c r="E1045" s="587"/>
      <c r="F1045" s="587" t="str">
        <f t="shared" si="86"/>
        <v>Marche à pied (exclusivement sur tout le trajet)</v>
      </c>
      <c r="G1045" s="587">
        <f t="shared" si="87"/>
        <v>7</v>
      </c>
      <c r="H1045" s="587"/>
      <c r="I1045" s="587">
        <v>12</v>
      </c>
      <c r="J1045" s="587">
        <f t="shared" si="88"/>
        <v>0</v>
      </c>
      <c r="K1045" s="587"/>
      <c r="L1045" s="587"/>
      <c r="M1045" s="587">
        <f t="shared" si="85"/>
        <v>7</v>
      </c>
      <c r="N1045" s="587">
        <f t="shared" si="85"/>
        <v>0</v>
      </c>
      <c r="O1045" s="587">
        <f t="shared" si="85"/>
        <v>0</v>
      </c>
      <c r="P1045" s="587">
        <f t="shared" si="84"/>
        <v>0</v>
      </c>
    </row>
    <row r="1046" spans="2:16">
      <c r="B1046" s="587" t="s">
        <v>868</v>
      </c>
      <c r="C1046" s="587" t="s">
        <v>869</v>
      </c>
      <c r="D1046" s="587" t="s">
        <v>871</v>
      </c>
      <c r="E1046" s="587"/>
      <c r="F1046" s="587" t="str">
        <f t="shared" si="86"/>
        <v>Marche à pied (exclusivement sur tout le trajet)</v>
      </c>
      <c r="G1046" s="587">
        <f t="shared" si="87"/>
        <v>7</v>
      </c>
      <c r="H1046" s="587"/>
      <c r="I1046" s="587">
        <v>15</v>
      </c>
      <c r="J1046" s="587">
        <f t="shared" si="88"/>
        <v>0</v>
      </c>
      <c r="K1046" s="587"/>
      <c r="L1046" s="587"/>
      <c r="M1046" s="587">
        <f t="shared" si="85"/>
        <v>7</v>
      </c>
      <c r="N1046" s="587">
        <f t="shared" si="85"/>
        <v>0</v>
      </c>
      <c r="O1046" s="587">
        <f t="shared" si="85"/>
        <v>0</v>
      </c>
      <c r="P1046" s="587">
        <f t="shared" si="84"/>
        <v>0</v>
      </c>
    </row>
    <row r="1047" spans="2:16">
      <c r="B1047" s="587" t="s">
        <v>868</v>
      </c>
      <c r="C1047" s="587" t="s">
        <v>875</v>
      </c>
      <c r="D1047" s="587"/>
      <c r="E1047" s="587" t="s">
        <v>879</v>
      </c>
      <c r="F1047" s="587" t="str">
        <f t="shared" si="86"/>
        <v>Voiture (seul(e))</v>
      </c>
      <c r="G1047" s="587">
        <f t="shared" si="87"/>
        <v>3</v>
      </c>
      <c r="H1047" s="587"/>
      <c r="I1047" s="587">
        <v>50</v>
      </c>
      <c r="J1047" s="587">
        <f t="shared" si="88"/>
        <v>2.7600000000000002</v>
      </c>
      <c r="K1047" s="587"/>
      <c r="L1047" s="587"/>
      <c r="M1047" s="587">
        <f t="shared" si="85"/>
        <v>0</v>
      </c>
      <c r="N1047" s="587">
        <f t="shared" si="85"/>
        <v>3</v>
      </c>
      <c r="O1047" s="587">
        <f t="shared" si="85"/>
        <v>0</v>
      </c>
      <c r="P1047" s="587">
        <f t="shared" si="84"/>
        <v>0</v>
      </c>
    </row>
    <row r="1048" spans="2:16">
      <c r="B1048" s="587" t="s">
        <v>868</v>
      </c>
      <c r="C1048" s="587" t="s">
        <v>869</v>
      </c>
      <c r="D1048" s="587" t="s">
        <v>871</v>
      </c>
      <c r="E1048" s="587"/>
      <c r="F1048" s="587" t="str">
        <f t="shared" si="86"/>
        <v>Marche à pied (exclusivement sur tout le trajet)</v>
      </c>
      <c r="G1048" s="587">
        <f t="shared" si="87"/>
        <v>7</v>
      </c>
      <c r="H1048" s="587"/>
      <c r="I1048" s="587">
        <v>5</v>
      </c>
      <c r="J1048" s="587">
        <f t="shared" si="88"/>
        <v>0</v>
      </c>
      <c r="K1048" s="587"/>
      <c r="L1048" s="587"/>
      <c r="M1048" s="587">
        <f t="shared" si="85"/>
        <v>7</v>
      </c>
      <c r="N1048" s="587">
        <f t="shared" si="85"/>
        <v>0</v>
      </c>
      <c r="O1048" s="587">
        <f t="shared" si="85"/>
        <v>0</v>
      </c>
      <c r="P1048" s="587">
        <f t="shared" si="84"/>
        <v>0</v>
      </c>
    </row>
    <row r="1049" spans="2:16">
      <c r="B1049" s="587" t="s">
        <v>868</v>
      </c>
      <c r="C1049" s="587" t="s">
        <v>869</v>
      </c>
      <c r="D1049" s="587" t="s">
        <v>872</v>
      </c>
      <c r="E1049" s="587"/>
      <c r="F1049" s="587" t="str">
        <f t="shared" si="86"/>
        <v>Vélo personnel (y compris vélo à assistance électrique)</v>
      </c>
      <c r="G1049" s="587">
        <f t="shared" si="87"/>
        <v>7</v>
      </c>
      <c r="H1049" s="587"/>
      <c r="I1049" s="587">
        <v>10</v>
      </c>
      <c r="J1049" s="587">
        <f t="shared" si="88"/>
        <v>0</v>
      </c>
      <c r="K1049" s="587"/>
      <c r="L1049" s="587"/>
      <c r="M1049" s="587">
        <f t="shared" si="85"/>
        <v>7</v>
      </c>
      <c r="N1049" s="587">
        <f t="shared" si="85"/>
        <v>0</v>
      </c>
      <c r="O1049" s="587">
        <f t="shared" si="85"/>
        <v>0</v>
      </c>
      <c r="P1049" s="587">
        <f t="shared" si="85"/>
        <v>0</v>
      </c>
    </row>
    <row r="1050" spans="2:16">
      <c r="B1050" s="587" t="s">
        <v>868</v>
      </c>
      <c r="C1050" s="587" t="s">
        <v>869</v>
      </c>
      <c r="D1050" s="587"/>
      <c r="E1050" s="587" t="s">
        <v>886</v>
      </c>
      <c r="F1050" s="587" t="str">
        <f t="shared" si="86"/>
        <v>Train (TER,..)</v>
      </c>
      <c r="G1050" s="587">
        <f t="shared" si="87"/>
        <v>6</v>
      </c>
      <c r="H1050" s="587"/>
      <c r="I1050" s="587">
        <v>15</v>
      </c>
      <c r="J1050" s="587">
        <f t="shared" si="88"/>
        <v>0.34600000000000003</v>
      </c>
      <c r="K1050" s="587"/>
      <c r="L1050" s="587"/>
      <c r="M1050" s="587">
        <f t="shared" ref="M1050:P1113" si="89">IF($C1050=M$27,$G1050,0)</f>
        <v>6</v>
      </c>
      <c r="N1050" s="587">
        <f t="shared" si="89"/>
        <v>0</v>
      </c>
      <c r="O1050" s="587">
        <f t="shared" si="89"/>
        <v>0</v>
      </c>
      <c r="P1050" s="587">
        <f t="shared" si="89"/>
        <v>0</v>
      </c>
    </row>
    <row r="1051" spans="2:16">
      <c r="B1051" s="587" t="s">
        <v>868</v>
      </c>
      <c r="C1051" s="587" t="s">
        <v>869</v>
      </c>
      <c r="D1051" s="587" t="s">
        <v>873</v>
      </c>
      <c r="E1051" s="587"/>
      <c r="F1051" s="587" t="str">
        <f t="shared" si="86"/>
        <v>Tramway</v>
      </c>
      <c r="G1051" s="587">
        <f t="shared" si="87"/>
        <v>1</v>
      </c>
      <c r="H1051" s="587"/>
      <c r="I1051" s="587">
        <v>30</v>
      </c>
      <c r="J1051" s="587">
        <f t="shared" si="88"/>
        <v>4.8833333333333326E-2</v>
      </c>
      <c r="K1051" s="587"/>
      <c r="L1051" s="587"/>
      <c r="M1051" s="587">
        <f t="shared" si="89"/>
        <v>1</v>
      </c>
      <c r="N1051" s="587">
        <f t="shared" si="89"/>
        <v>0</v>
      </c>
      <c r="O1051" s="587">
        <f t="shared" si="89"/>
        <v>0</v>
      </c>
      <c r="P1051" s="587">
        <f t="shared" si="89"/>
        <v>0</v>
      </c>
    </row>
    <row r="1052" spans="2:16">
      <c r="B1052" s="587" t="s">
        <v>868</v>
      </c>
      <c r="C1052" s="587" t="s">
        <v>869</v>
      </c>
      <c r="D1052" s="587" t="s">
        <v>872</v>
      </c>
      <c r="E1052" s="587"/>
      <c r="F1052" s="587" t="str">
        <f t="shared" si="86"/>
        <v>Vélo personnel (y compris vélo à assistance électrique)</v>
      </c>
      <c r="G1052" s="587">
        <f t="shared" si="87"/>
        <v>7</v>
      </c>
      <c r="H1052" s="587"/>
      <c r="I1052" s="587">
        <v>5</v>
      </c>
      <c r="J1052" s="587">
        <f t="shared" si="88"/>
        <v>0</v>
      </c>
      <c r="K1052" s="587"/>
      <c r="L1052" s="587"/>
      <c r="M1052" s="587">
        <f t="shared" si="89"/>
        <v>7</v>
      </c>
      <c r="N1052" s="587">
        <f t="shared" si="89"/>
        <v>0</v>
      </c>
      <c r="O1052" s="587">
        <f t="shared" si="89"/>
        <v>0</v>
      </c>
      <c r="P1052" s="587">
        <f t="shared" si="89"/>
        <v>0</v>
      </c>
    </row>
    <row r="1053" spans="2:16">
      <c r="B1053" s="587" t="s">
        <v>868</v>
      </c>
      <c r="C1053" s="587" t="s">
        <v>869</v>
      </c>
      <c r="D1053" s="587"/>
      <c r="E1053" s="587" t="s">
        <v>878</v>
      </c>
      <c r="F1053" s="587" t="str">
        <f t="shared" si="86"/>
        <v>Marche à pied au-delà de 5 minutes</v>
      </c>
      <c r="G1053" s="587">
        <f t="shared" si="87"/>
        <v>7</v>
      </c>
      <c r="H1053" s="587"/>
      <c r="I1053" s="587">
        <v>15</v>
      </c>
      <c r="J1053" s="587">
        <f t="shared" si="88"/>
        <v>0</v>
      </c>
      <c r="K1053" s="587"/>
      <c r="L1053" s="587"/>
      <c r="M1053" s="587">
        <f t="shared" si="89"/>
        <v>7</v>
      </c>
      <c r="N1053" s="587">
        <f t="shared" si="89"/>
        <v>0</v>
      </c>
      <c r="O1053" s="587">
        <f t="shared" si="89"/>
        <v>0</v>
      </c>
      <c r="P1053" s="587">
        <f t="shared" si="89"/>
        <v>0</v>
      </c>
    </row>
    <row r="1054" spans="2:16">
      <c r="B1054" s="587" t="s">
        <v>868</v>
      </c>
      <c r="C1054" s="587" t="s">
        <v>875</v>
      </c>
      <c r="D1054" s="587" t="s">
        <v>872</v>
      </c>
      <c r="E1054" s="587"/>
      <c r="F1054" s="587" t="str">
        <f t="shared" si="86"/>
        <v>Vélo personnel (y compris vélo à assistance électrique)</v>
      </c>
      <c r="G1054" s="587">
        <f t="shared" si="87"/>
        <v>7</v>
      </c>
      <c r="H1054" s="587"/>
      <c r="I1054" s="587">
        <v>15</v>
      </c>
      <c r="J1054" s="587">
        <f t="shared" si="88"/>
        <v>0</v>
      </c>
      <c r="K1054" s="587"/>
      <c r="L1054" s="587"/>
      <c r="M1054" s="587">
        <f t="shared" si="89"/>
        <v>0</v>
      </c>
      <c r="N1054" s="587">
        <f t="shared" si="89"/>
        <v>7</v>
      </c>
      <c r="O1054" s="587">
        <f t="shared" si="89"/>
        <v>0</v>
      </c>
      <c r="P1054" s="587">
        <f t="shared" si="89"/>
        <v>0</v>
      </c>
    </row>
    <row r="1055" spans="2:16">
      <c r="B1055" s="587" t="s">
        <v>868</v>
      </c>
      <c r="C1055" s="587" t="s">
        <v>875</v>
      </c>
      <c r="D1055" s="587"/>
      <c r="E1055" s="587" t="s">
        <v>870</v>
      </c>
      <c r="F1055" s="587" t="str">
        <f t="shared" si="86"/>
        <v>Métro</v>
      </c>
      <c r="G1055" s="587">
        <f t="shared" si="87"/>
        <v>1</v>
      </c>
      <c r="H1055" s="587"/>
      <c r="I1055" s="587">
        <v>35</v>
      </c>
      <c r="J1055" s="587">
        <f t="shared" si="88"/>
        <v>4.8833333333333326E-2</v>
      </c>
      <c r="K1055" s="587"/>
      <c r="L1055" s="587"/>
      <c r="M1055" s="587">
        <f t="shared" si="89"/>
        <v>0</v>
      </c>
      <c r="N1055" s="587">
        <f t="shared" si="89"/>
        <v>1</v>
      </c>
      <c r="O1055" s="587">
        <f t="shared" si="89"/>
        <v>0</v>
      </c>
      <c r="P1055" s="587">
        <f t="shared" si="89"/>
        <v>0</v>
      </c>
    </row>
    <row r="1056" spans="2:16">
      <c r="B1056" s="587" t="s">
        <v>868</v>
      </c>
      <c r="C1056" s="587" t="s">
        <v>869</v>
      </c>
      <c r="D1056" s="587" t="s">
        <v>872</v>
      </c>
      <c r="E1056" s="587"/>
      <c r="F1056" s="587" t="str">
        <f t="shared" si="86"/>
        <v>Vélo personnel (y compris vélo à assistance électrique)</v>
      </c>
      <c r="G1056" s="587">
        <f t="shared" si="87"/>
        <v>7</v>
      </c>
      <c r="H1056" s="587"/>
      <c r="I1056" s="587">
        <v>7</v>
      </c>
      <c r="J1056" s="587">
        <f t="shared" si="88"/>
        <v>0</v>
      </c>
      <c r="K1056" s="587"/>
      <c r="L1056" s="587"/>
      <c r="M1056" s="587">
        <f t="shared" si="89"/>
        <v>7</v>
      </c>
      <c r="N1056" s="587">
        <f t="shared" si="89"/>
        <v>0</v>
      </c>
      <c r="O1056" s="587">
        <f t="shared" si="89"/>
        <v>0</v>
      </c>
      <c r="P1056" s="587">
        <f t="shared" si="89"/>
        <v>0</v>
      </c>
    </row>
    <row r="1057" spans="2:16">
      <c r="B1057" s="587" t="s">
        <v>868</v>
      </c>
      <c r="C1057" s="587" t="s">
        <v>875</v>
      </c>
      <c r="D1057" s="587" t="s">
        <v>879</v>
      </c>
      <c r="E1057" s="587"/>
      <c r="F1057" s="587" t="str">
        <f t="shared" si="86"/>
        <v>Voiture (seul(e))</v>
      </c>
      <c r="G1057" s="587">
        <f t="shared" si="87"/>
        <v>3</v>
      </c>
      <c r="H1057" s="587"/>
      <c r="I1057" s="587">
        <v>10</v>
      </c>
      <c r="J1057" s="587">
        <f t="shared" si="88"/>
        <v>2.7600000000000002</v>
      </c>
      <c r="K1057" s="587"/>
      <c r="L1057" s="587"/>
      <c r="M1057" s="587">
        <f t="shared" si="89"/>
        <v>0</v>
      </c>
      <c r="N1057" s="587">
        <f t="shared" si="89"/>
        <v>3</v>
      </c>
      <c r="O1057" s="587">
        <f t="shared" si="89"/>
        <v>0</v>
      </c>
      <c r="P1057" s="587">
        <f t="shared" si="89"/>
        <v>0</v>
      </c>
    </row>
    <row r="1058" spans="2:16">
      <c r="B1058" s="587" t="s">
        <v>868</v>
      </c>
      <c r="C1058" s="587" t="s">
        <v>875</v>
      </c>
      <c r="D1058" s="587" t="s">
        <v>872</v>
      </c>
      <c r="E1058" s="587"/>
      <c r="F1058" s="587" t="str">
        <f t="shared" si="86"/>
        <v>Vélo personnel (y compris vélo à assistance électrique)</v>
      </c>
      <c r="G1058" s="587">
        <f t="shared" si="87"/>
        <v>7</v>
      </c>
      <c r="H1058" s="587"/>
      <c r="I1058" s="587">
        <v>20</v>
      </c>
      <c r="J1058" s="587">
        <f t="shared" si="88"/>
        <v>0</v>
      </c>
      <c r="K1058" s="587"/>
      <c r="L1058" s="587"/>
      <c r="M1058" s="587">
        <f t="shared" si="89"/>
        <v>0</v>
      </c>
      <c r="N1058" s="587">
        <f t="shared" si="89"/>
        <v>7</v>
      </c>
      <c r="O1058" s="587">
        <f t="shared" si="89"/>
        <v>0</v>
      </c>
      <c r="P1058" s="587">
        <f t="shared" si="89"/>
        <v>0</v>
      </c>
    </row>
    <row r="1059" spans="2:16">
      <c r="B1059" s="587" t="s">
        <v>868</v>
      </c>
      <c r="C1059" s="587" t="s">
        <v>869</v>
      </c>
      <c r="D1059" s="587" t="s">
        <v>871</v>
      </c>
      <c r="E1059" s="587"/>
      <c r="F1059" s="587" t="str">
        <f t="shared" si="86"/>
        <v>Marche à pied (exclusivement sur tout le trajet)</v>
      </c>
      <c r="G1059" s="587">
        <f t="shared" si="87"/>
        <v>7</v>
      </c>
      <c r="H1059" s="587"/>
      <c r="I1059" s="587">
        <v>10</v>
      </c>
      <c r="J1059" s="587">
        <f t="shared" si="88"/>
        <v>0</v>
      </c>
      <c r="K1059" s="587"/>
      <c r="L1059" s="587"/>
      <c r="M1059" s="587">
        <f t="shared" si="89"/>
        <v>7</v>
      </c>
      <c r="N1059" s="587">
        <f t="shared" si="89"/>
        <v>0</v>
      </c>
      <c r="O1059" s="587">
        <f t="shared" si="89"/>
        <v>0</v>
      </c>
      <c r="P1059" s="587">
        <f t="shared" si="89"/>
        <v>0</v>
      </c>
    </row>
    <row r="1060" spans="2:16">
      <c r="B1060" s="587" t="s">
        <v>868</v>
      </c>
      <c r="C1060" s="587" t="s">
        <v>882</v>
      </c>
      <c r="D1060" s="587" t="s">
        <v>879</v>
      </c>
      <c r="E1060" s="587"/>
      <c r="F1060" s="587" t="str">
        <f t="shared" si="86"/>
        <v>Voiture (seul(e))</v>
      </c>
      <c r="G1060" s="587">
        <f t="shared" si="87"/>
        <v>3</v>
      </c>
      <c r="H1060" s="587"/>
      <c r="I1060" s="587">
        <v>45</v>
      </c>
      <c r="J1060" s="587">
        <f t="shared" si="88"/>
        <v>2.7600000000000002</v>
      </c>
      <c r="K1060" s="587"/>
      <c r="L1060" s="587"/>
      <c r="M1060" s="587">
        <f t="shared" si="89"/>
        <v>0</v>
      </c>
      <c r="N1060" s="587">
        <f t="shared" si="89"/>
        <v>0</v>
      </c>
      <c r="O1060" s="587">
        <f t="shared" si="89"/>
        <v>3</v>
      </c>
      <c r="P1060" s="587">
        <f t="shared" si="89"/>
        <v>0</v>
      </c>
    </row>
    <row r="1061" spans="2:16">
      <c r="B1061" s="587" t="s">
        <v>868</v>
      </c>
      <c r="C1061" s="587" t="s">
        <v>875</v>
      </c>
      <c r="D1061" s="587"/>
      <c r="E1061" s="587" t="s">
        <v>872</v>
      </c>
      <c r="F1061" s="587" t="str">
        <f t="shared" si="86"/>
        <v>Vélo personnel (y compris vélo à assistance électrique)</v>
      </c>
      <c r="G1061" s="587">
        <f t="shared" si="87"/>
        <v>7</v>
      </c>
      <c r="H1061" s="587"/>
      <c r="I1061" s="587">
        <v>7</v>
      </c>
      <c r="J1061" s="587">
        <f t="shared" si="88"/>
        <v>0</v>
      </c>
      <c r="K1061" s="587"/>
      <c r="L1061" s="587"/>
      <c r="M1061" s="587">
        <f t="shared" si="89"/>
        <v>0</v>
      </c>
      <c r="N1061" s="587">
        <f t="shared" si="89"/>
        <v>7</v>
      </c>
      <c r="O1061" s="587">
        <f t="shared" si="89"/>
        <v>0</v>
      </c>
      <c r="P1061" s="587">
        <f t="shared" si="89"/>
        <v>0</v>
      </c>
    </row>
    <row r="1062" spans="2:16">
      <c r="B1062" s="587" t="s">
        <v>868</v>
      </c>
      <c r="C1062" s="587" t="s">
        <v>875</v>
      </c>
      <c r="D1062" s="587" t="s">
        <v>872</v>
      </c>
      <c r="E1062" s="587"/>
      <c r="F1062" s="587" t="str">
        <f t="shared" si="86"/>
        <v>Vélo personnel (y compris vélo à assistance électrique)</v>
      </c>
      <c r="G1062" s="587">
        <f t="shared" si="87"/>
        <v>7</v>
      </c>
      <c r="H1062" s="587"/>
      <c r="I1062" s="587">
        <v>20</v>
      </c>
      <c r="J1062" s="587">
        <f t="shared" si="88"/>
        <v>0</v>
      </c>
      <c r="K1062" s="587"/>
      <c r="L1062" s="587"/>
      <c r="M1062" s="587">
        <f t="shared" si="89"/>
        <v>0</v>
      </c>
      <c r="N1062" s="587">
        <f t="shared" si="89"/>
        <v>7</v>
      </c>
      <c r="O1062" s="587">
        <f t="shared" si="89"/>
        <v>0</v>
      </c>
      <c r="P1062" s="587">
        <f t="shared" si="89"/>
        <v>0</v>
      </c>
    </row>
    <row r="1063" spans="2:16">
      <c r="B1063" s="587" t="s">
        <v>868</v>
      </c>
      <c r="C1063" s="587" t="s">
        <v>869</v>
      </c>
      <c r="D1063" s="587" t="s">
        <v>872</v>
      </c>
      <c r="E1063" s="587"/>
      <c r="F1063" s="587" t="str">
        <f t="shared" si="86"/>
        <v>Vélo personnel (y compris vélo à assistance électrique)</v>
      </c>
      <c r="G1063" s="587">
        <f t="shared" si="87"/>
        <v>7</v>
      </c>
      <c r="H1063" s="587"/>
      <c r="I1063" s="587">
        <v>15</v>
      </c>
      <c r="J1063" s="587">
        <f t="shared" si="88"/>
        <v>0</v>
      </c>
      <c r="K1063" s="587"/>
      <c r="L1063" s="587"/>
      <c r="M1063" s="587">
        <f t="shared" si="89"/>
        <v>7</v>
      </c>
      <c r="N1063" s="587">
        <f t="shared" si="89"/>
        <v>0</v>
      </c>
      <c r="O1063" s="587">
        <f t="shared" si="89"/>
        <v>0</v>
      </c>
      <c r="P1063" s="587">
        <f t="shared" si="89"/>
        <v>0</v>
      </c>
    </row>
    <row r="1064" spans="2:16">
      <c r="B1064" s="587" t="s">
        <v>868</v>
      </c>
      <c r="C1064" s="587" t="s">
        <v>869</v>
      </c>
      <c r="D1064" s="587" t="s">
        <v>879</v>
      </c>
      <c r="E1064" s="587"/>
      <c r="F1064" s="587" t="str">
        <f t="shared" si="86"/>
        <v>Voiture (seul(e))</v>
      </c>
      <c r="G1064" s="587">
        <f t="shared" si="87"/>
        <v>3</v>
      </c>
      <c r="H1064" s="587"/>
      <c r="I1064" s="587">
        <v>20</v>
      </c>
      <c r="J1064" s="587">
        <f t="shared" si="88"/>
        <v>2.7600000000000002</v>
      </c>
      <c r="K1064" s="587"/>
      <c r="L1064" s="587"/>
      <c r="M1064" s="587">
        <f t="shared" si="89"/>
        <v>3</v>
      </c>
      <c r="N1064" s="587">
        <f t="shared" si="89"/>
        <v>0</v>
      </c>
      <c r="O1064" s="587">
        <f t="shared" si="89"/>
        <v>0</v>
      </c>
      <c r="P1064" s="587">
        <f t="shared" si="89"/>
        <v>0</v>
      </c>
    </row>
    <row r="1065" spans="2:16">
      <c r="B1065" s="587" t="s">
        <v>868</v>
      </c>
      <c r="C1065" s="587" t="s">
        <v>869</v>
      </c>
      <c r="D1065" s="587"/>
      <c r="E1065" s="587" t="s">
        <v>878</v>
      </c>
      <c r="F1065" s="587" t="str">
        <f t="shared" si="86"/>
        <v>Marche à pied au-delà de 5 minutes</v>
      </c>
      <c r="G1065" s="587">
        <f t="shared" si="87"/>
        <v>7</v>
      </c>
      <c r="H1065" s="587"/>
      <c r="I1065" s="587">
        <v>30</v>
      </c>
      <c r="J1065" s="587">
        <f t="shared" si="88"/>
        <v>0</v>
      </c>
      <c r="K1065" s="587"/>
      <c r="L1065" s="587"/>
      <c r="M1065" s="587">
        <f t="shared" si="89"/>
        <v>7</v>
      </c>
      <c r="N1065" s="587">
        <f t="shared" si="89"/>
        <v>0</v>
      </c>
      <c r="O1065" s="587">
        <f t="shared" si="89"/>
        <v>0</v>
      </c>
      <c r="P1065" s="587">
        <f t="shared" si="89"/>
        <v>0</v>
      </c>
    </row>
    <row r="1066" spans="2:16">
      <c r="B1066" s="587" t="s">
        <v>868</v>
      </c>
      <c r="C1066" s="587" t="s">
        <v>882</v>
      </c>
      <c r="D1066" s="587"/>
      <c r="E1066" s="587" t="s">
        <v>883</v>
      </c>
      <c r="F1066" s="587" t="str">
        <f t="shared" si="86"/>
        <v>Covoiturage (passager(ère))</v>
      </c>
      <c r="G1066" s="587">
        <f t="shared" si="87"/>
        <v>4</v>
      </c>
      <c r="H1066" s="587"/>
      <c r="I1066" s="587">
        <v>25</v>
      </c>
      <c r="J1066" s="587">
        <f t="shared" si="88"/>
        <v>0.69000000000000006</v>
      </c>
      <c r="K1066" s="587"/>
      <c r="L1066" s="587"/>
      <c r="M1066" s="587">
        <f t="shared" si="89"/>
        <v>0</v>
      </c>
      <c r="N1066" s="587">
        <f t="shared" si="89"/>
        <v>0</v>
      </c>
      <c r="O1066" s="587">
        <f t="shared" si="89"/>
        <v>4</v>
      </c>
      <c r="P1066" s="587">
        <f t="shared" si="89"/>
        <v>0</v>
      </c>
    </row>
    <row r="1067" spans="2:16">
      <c r="B1067" s="587" t="s">
        <v>868</v>
      </c>
      <c r="C1067" s="587" t="s">
        <v>869</v>
      </c>
      <c r="D1067" s="587" t="s">
        <v>872</v>
      </c>
      <c r="E1067" s="587"/>
      <c r="F1067" s="587" t="str">
        <f t="shared" si="86"/>
        <v>Vélo personnel (y compris vélo à assistance électrique)</v>
      </c>
      <c r="G1067" s="587">
        <f t="shared" si="87"/>
        <v>7</v>
      </c>
      <c r="H1067" s="587"/>
      <c r="I1067" s="587">
        <v>15</v>
      </c>
      <c r="J1067" s="587">
        <f t="shared" si="88"/>
        <v>0</v>
      </c>
      <c r="K1067" s="587"/>
      <c r="L1067" s="587"/>
      <c r="M1067" s="587">
        <f t="shared" si="89"/>
        <v>7</v>
      </c>
      <c r="N1067" s="587">
        <f t="shared" si="89"/>
        <v>0</v>
      </c>
      <c r="O1067" s="587">
        <f t="shared" si="89"/>
        <v>0</v>
      </c>
      <c r="P1067" s="587">
        <f t="shared" si="89"/>
        <v>0</v>
      </c>
    </row>
    <row r="1068" spans="2:16">
      <c r="B1068" s="587" t="s">
        <v>868</v>
      </c>
      <c r="C1068" s="587" t="s">
        <v>869</v>
      </c>
      <c r="D1068" s="587" t="s">
        <v>871</v>
      </c>
      <c r="E1068" s="587"/>
      <c r="F1068" s="587" t="str">
        <f t="shared" si="86"/>
        <v>Marche à pied (exclusivement sur tout le trajet)</v>
      </c>
      <c r="G1068" s="587">
        <f t="shared" si="87"/>
        <v>7</v>
      </c>
      <c r="H1068" s="587"/>
      <c r="I1068" s="587">
        <v>15</v>
      </c>
      <c r="J1068" s="587">
        <f t="shared" si="88"/>
        <v>0</v>
      </c>
      <c r="K1068" s="587"/>
      <c r="L1068" s="587"/>
      <c r="M1068" s="587">
        <f t="shared" si="89"/>
        <v>7</v>
      </c>
      <c r="N1068" s="587">
        <f t="shared" si="89"/>
        <v>0</v>
      </c>
      <c r="O1068" s="587">
        <f t="shared" si="89"/>
        <v>0</v>
      </c>
      <c r="P1068" s="587">
        <f t="shared" si="89"/>
        <v>0</v>
      </c>
    </row>
    <row r="1069" spans="2:16">
      <c r="B1069" s="587" t="s">
        <v>868</v>
      </c>
      <c r="C1069" s="587" t="s">
        <v>869</v>
      </c>
      <c r="D1069" s="587" t="s">
        <v>871</v>
      </c>
      <c r="E1069" s="587"/>
      <c r="F1069" s="587" t="str">
        <f t="shared" si="86"/>
        <v>Marche à pied (exclusivement sur tout le trajet)</v>
      </c>
      <c r="G1069" s="587">
        <f t="shared" si="87"/>
        <v>7</v>
      </c>
      <c r="H1069" s="587"/>
      <c r="I1069" s="587">
        <v>8</v>
      </c>
      <c r="J1069" s="587">
        <f t="shared" si="88"/>
        <v>0</v>
      </c>
      <c r="K1069" s="587"/>
      <c r="L1069" s="587"/>
      <c r="M1069" s="587">
        <f t="shared" si="89"/>
        <v>7</v>
      </c>
      <c r="N1069" s="587">
        <f t="shared" si="89"/>
        <v>0</v>
      </c>
      <c r="O1069" s="587">
        <f t="shared" si="89"/>
        <v>0</v>
      </c>
      <c r="P1069" s="587">
        <f t="shared" si="89"/>
        <v>0</v>
      </c>
    </row>
    <row r="1070" spans="2:16">
      <c r="B1070" s="587" t="s">
        <v>868</v>
      </c>
      <c r="C1070" s="587" t="s">
        <v>875</v>
      </c>
      <c r="D1070" s="587" t="s">
        <v>879</v>
      </c>
      <c r="E1070" s="587"/>
      <c r="F1070" s="587" t="str">
        <f t="shared" si="86"/>
        <v>Voiture (seul(e))</v>
      </c>
      <c r="G1070" s="587">
        <f t="shared" si="87"/>
        <v>3</v>
      </c>
      <c r="H1070" s="587"/>
      <c r="I1070" s="587">
        <v>45</v>
      </c>
      <c r="J1070" s="587">
        <f t="shared" si="88"/>
        <v>2.7600000000000002</v>
      </c>
      <c r="K1070" s="587"/>
      <c r="L1070" s="587"/>
      <c r="M1070" s="587">
        <f t="shared" si="89"/>
        <v>0</v>
      </c>
      <c r="N1070" s="587">
        <f t="shared" si="89"/>
        <v>3</v>
      </c>
      <c r="O1070" s="587">
        <f t="shared" si="89"/>
        <v>0</v>
      </c>
      <c r="P1070" s="587">
        <f t="shared" si="89"/>
        <v>0</v>
      </c>
    </row>
    <row r="1071" spans="2:16">
      <c r="B1071" s="587" t="s">
        <v>868</v>
      </c>
      <c r="C1071" s="587" t="s">
        <v>869</v>
      </c>
      <c r="D1071" s="587" t="s">
        <v>877</v>
      </c>
      <c r="E1071" s="587"/>
      <c r="F1071" s="587" t="str">
        <f t="shared" si="86"/>
        <v>Vélo’v</v>
      </c>
      <c r="G1071" s="587">
        <f t="shared" si="87"/>
        <v>7</v>
      </c>
      <c r="H1071" s="587"/>
      <c r="I1071" s="587">
        <v>10</v>
      </c>
      <c r="J1071" s="587">
        <f t="shared" si="88"/>
        <v>0</v>
      </c>
      <c r="K1071" s="587"/>
      <c r="L1071" s="587"/>
      <c r="M1071" s="587">
        <f t="shared" si="89"/>
        <v>7</v>
      </c>
      <c r="N1071" s="587">
        <f t="shared" si="89"/>
        <v>0</v>
      </c>
      <c r="O1071" s="587">
        <f t="shared" si="89"/>
        <v>0</v>
      </c>
      <c r="P1071" s="587">
        <f t="shared" si="89"/>
        <v>0</v>
      </c>
    </row>
    <row r="1072" spans="2:16">
      <c r="B1072" s="587" t="s">
        <v>868</v>
      </c>
      <c r="C1072" s="587" t="s">
        <v>869</v>
      </c>
      <c r="D1072" s="587" t="s">
        <v>871</v>
      </c>
      <c r="E1072" s="587"/>
      <c r="F1072" s="587" t="str">
        <f t="shared" si="86"/>
        <v>Marche à pied (exclusivement sur tout le trajet)</v>
      </c>
      <c r="G1072" s="587">
        <f t="shared" si="87"/>
        <v>7</v>
      </c>
      <c r="H1072" s="587"/>
      <c r="I1072" s="587">
        <v>3</v>
      </c>
      <c r="J1072" s="587">
        <f t="shared" si="88"/>
        <v>0</v>
      </c>
      <c r="K1072" s="587"/>
      <c r="L1072" s="587"/>
      <c r="M1072" s="587">
        <f t="shared" si="89"/>
        <v>7</v>
      </c>
      <c r="N1072" s="587">
        <f t="shared" si="89"/>
        <v>0</v>
      </c>
      <c r="O1072" s="587">
        <f t="shared" si="89"/>
        <v>0</v>
      </c>
      <c r="P1072" s="587">
        <f t="shared" si="89"/>
        <v>0</v>
      </c>
    </row>
    <row r="1073" spans="2:16">
      <c r="B1073" s="587" t="s">
        <v>868</v>
      </c>
      <c r="C1073" s="587" t="s">
        <v>869</v>
      </c>
      <c r="D1073" s="587" t="s">
        <v>871</v>
      </c>
      <c r="E1073" s="587"/>
      <c r="F1073" s="587" t="str">
        <f t="shared" si="86"/>
        <v>Marche à pied (exclusivement sur tout le trajet)</v>
      </c>
      <c r="G1073" s="587">
        <f t="shared" si="87"/>
        <v>7</v>
      </c>
      <c r="H1073" s="587"/>
      <c r="I1073" s="587">
        <v>2</v>
      </c>
      <c r="J1073" s="587">
        <f t="shared" si="88"/>
        <v>0</v>
      </c>
      <c r="K1073" s="587"/>
      <c r="L1073" s="587"/>
      <c r="M1073" s="587">
        <f t="shared" si="89"/>
        <v>7</v>
      </c>
      <c r="N1073" s="587">
        <f t="shared" si="89"/>
        <v>0</v>
      </c>
      <c r="O1073" s="587">
        <f t="shared" si="89"/>
        <v>0</v>
      </c>
      <c r="P1073" s="587">
        <f t="shared" si="89"/>
        <v>0</v>
      </c>
    </row>
    <row r="1074" spans="2:16">
      <c r="B1074" s="587" t="s">
        <v>868</v>
      </c>
      <c r="C1074" s="587" t="s">
        <v>869</v>
      </c>
      <c r="D1074" s="587"/>
      <c r="E1074" s="587" t="s">
        <v>870</v>
      </c>
      <c r="F1074" s="587" t="str">
        <f t="shared" si="86"/>
        <v>Métro</v>
      </c>
      <c r="G1074" s="587">
        <f t="shared" si="87"/>
        <v>1</v>
      </c>
      <c r="H1074" s="587"/>
      <c r="I1074" s="587">
        <v>30</v>
      </c>
      <c r="J1074" s="587">
        <f t="shared" si="88"/>
        <v>4.8833333333333326E-2</v>
      </c>
      <c r="K1074" s="587"/>
      <c r="L1074" s="587"/>
      <c r="M1074" s="587">
        <f t="shared" si="89"/>
        <v>1</v>
      </c>
      <c r="N1074" s="587">
        <f t="shared" si="89"/>
        <v>0</v>
      </c>
      <c r="O1074" s="587">
        <f t="shared" si="89"/>
        <v>0</v>
      </c>
      <c r="P1074" s="587">
        <f t="shared" si="89"/>
        <v>0</v>
      </c>
    </row>
    <row r="1075" spans="2:16">
      <c r="B1075" s="587" t="s">
        <v>868</v>
      </c>
      <c r="C1075" s="587" t="s">
        <v>869</v>
      </c>
      <c r="D1075" s="587" t="s">
        <v>871</v>
      </c>
      <c r="E1075" s="587"/>
      <c r="F1075" s="587" t="str">
        <f t="shared" si="86"/>
        <v>Marche à pied (exclusivement sur tout le trajet)</v>
      </c>
      <c r="G1075" s="587">
        <f t="shared" si="87"/>
        <v>7</v>
      </c>
      <c r="H1075" s="587"/>
      <c r="I1075" s="587">
        <v>3</v>
      </c>
      <c r="J1075" s="587">
        <f t="shared" si="88"/>
        <v>0</v>
      </c>
      <c r="K1075" s="587"/>
      <c r="L1075" s="587"/>
      <c r="M1075" s="587">
        <f t="shared" si="89"/>
        <v>7</v>
      </c>
      <c r="N1075" s="587">
        <f t="shared" si="89"/>
        <v>0</v>
      </c>
      <c r="O1075" s="587">
        <f t="shared" si="89"/>
        <v>0</v>
      </c>
      <c r="P1075" s="587">
        <f t="shared" si="89"/>
        <v>0</v>
      </c>
    </row>
    <row r="1076" spans="2:16">
      <c r="B1076" s="587" t="s">
        <v>868</v>
      </c>
      <c r="C1076" s="587" t="s">
        <v>869</v>
      </c>
      <c r="D1076" s="587" t="s">
        <v>871</v>
      </c>
      <c r="E1076" s="587"/>
      <c r="F1076" s="587" t="str">
        <f t="shared" si="86"/>
        <v>Marche à pied (exclusivement sur tout le trajet)</v>
      </c>
      <c r="G1076" s="587">
        <f t="shared" si="87"/>
        <v>7</v>
      </c>
      <c r="H1076" s="587"/>
      <c r="I1076" s="587">
        <v>5</v>
      </c>
      <c r="J1076" s="587">
        <f t="shared" si="88"/>
        <v>0</v>
      </c>
      <c r="K1076" s="587"/>
      <c r="L1076" s="587"/>
      <c r="M1076" s="587">
        <f t="shared" si="89"/>
        <v>7</v>
      </c>
      <c r="N1076" s="587">
        <f t="shared" si="89"/>
        <v>0</v>
      </c>
      <c r="O1076" s="587">
        <f t="shared" si="89"/>
        <v>0</v>
      </c>
      <c r="P1076" s="587">
        <f t="shared" si="89"/>
        <v>0</v>
      </c>
    </row>
    <row r="1077" spans="2:16">
      <c r="B1077" s="587" t="s">
        <v>868</v>
      </c>
      <c r="C1077" s="587" t="s">
        <v>869</v>
      </c>
      <c r="D1077" s="587" t="s">
        <v>871</v>
      </c>
      <c r="E1077" s="587"/>
      <c r="F1077" s="587" t="str">
        <f t="shared" si="86"/>
        <v>Marche à pied (exclusivement sur tout le trajet)</v>
      </c>
      <c r="G1077" s="587">
        <f t="shared" si="87"/>
        <v>7</v>
      </c>
      <c r="H1077" s="587"/>
      <c r="I1077" s="587">
        <v>5</v>
      </c>
      <c r="J1077" s="587">
        <f t="shared" si="88"/>
        <v>0</v>
      </c>
      <c r="K1077" s="587"/>
      <c r="L1077" s="587"/>
      <c r="M1077" s="587">
        <f t="shared" si="89"/>
        <v>7</v>
      </c>
      <c r="N1077" s="587">
        <f t="shared" si="89"/>
        <v>0</v>
      </c>
      <c r="O1077" s="587">
        <f t="shared" si="89"/>
        <v>0</v>
      </c>
      <c r="P1077" s="587">
        <f t="shared" si="89"/>
        <v>0</v>
      </c>
    </row>
    <row r="1078" spans="2:16">
      <c r="B1078" s="587" t="s">
        <v>868</v>
      </c>
      <c r="C1078" s="587" t="s">
        <v>869</v>
      </c>
      <c r="D1078" s="587" t="s">
        <v>871</v>
      </c>
      <c r="E1078" s="587"/>
      <c r="F1078" s="587" t="str">
        <f t="shared" si="86"/>
        <v>Marche à pied (exclusivement sur tout le trajet)</v>
      </c>
      <c r="G1078" s="587">
        <f t="shared" si="87"/>
        <v>7</v>
      </c>
      <c r="H1078" s="587"/>
      <c r="I1078" s="587">
        <v>5</v>
      </c>
      <c r="J1078" s="587">
        <f t="shared" si="88"/>
        <v>0</v>
      </c>
      <c r="K1078" s="587"/>
      <c r="L1078" s="587"/>
      <c r="M1078" s="587">
        <f t="shared" si="89"/>
        <v>7</v>
      </c>
      <c r="N1078" s="587">
        <f t="shared" si="89"/>
        <v>0</v>
      </c>
      <c r="O1078" s="587">
        <f t="shared" si="89"/>
        <v>0</v>
      </c>
      <c r="P1078" s="587">
        <f t="shared" si="89"/>
        <v>0</v>
      </c>
    </row>
    <row r="1079" spans="2:16">
      <c r="B1079" s="587" t="s">
        <v>868</v>
      </c>
      <c r="C1079" s="587" t="s">
        <v>869</v>
      </c>
      <c r="D1079" s="587" t="s">
        <v>876</v>
      </c>
      <c r="E1079" s="587"/>
      <c r="F1079" s="587" t="str">
        <f t="shared" si="86"/>
        <v>Trottinette, roller, skateboard,...</v>
      </c>
      <c r="G1079" s="587">
        <f t="shared" si="87"/>
        <v>7</v>
      </c>
      <c r="H1079" s="587"/>
      <c r="I1079" s="587">
        <v>3</v>
      </c>
      <c r="J1079" s="587">
        <f t="shared" si="88"/>
        <v>0</v>
      </c>
      <c r="K1079" s="587"/>
      <c r="L1079" s="587"/>
      <c r="M1079" s="587">
        <f t="shared" si="89"/>
        <v>7</v>
      </c>
      <c r="N1079" s="587">
        <f t="shared" si="89"/>
        <v>0</v>
      </c>
      <c r="O1079" s="587">
        <f t="shared" si="89"/>
        <v>0</v>
      </c>
      <c r="P1079" s="587">
        <f t="shared" si="89"/>
        <v>0</v>
      </c>
    </row>
    <row r="1080" spans="2:16">
      <c r="B1080" s="587" t="s">
        <v>868</v>
      </c>
      <c r="C1080" s="587" t="s">
        <v>869</v>
      </c>
      <c r="D1080" s="587" t="s">
        <v>871</v>
      </c>
      <c r="E1080" s="587"/>
      <c r="F1080" s="587" t="str">
        <f t="shared" si="86"/>
        <v>Marche à pied (exclusivement sur tout le trajet)</v>
      </c>
      <c r="G1080" s="587">
        <f t="shared" si="87"/>
        <v>7</v>
      </c>
      <c r="H1080" s="587"/>
      <c r="I1080" s="587">
        <v>3</v>
      </c>
      <c r="J1080" s="587">
        <f t="shared" si="88"/>
        <v>0</v>
      </c>
      <c r="K1080" s="587"/>
      <c r="L1080" s="587"/>
      <c r="M1080" s="587">
        <f t="shared" si="89"/>
        <v>7</v>
      </c>
      <c r="N1080" s="587">
        <f t="shared" si="89"/>
        <v>0</v>
      </c>
      <c r="O1080" s="587">
        <f t="shared" si="89"/>
        <v>0</v>
      </c>
      <c r="P1080" s="587">
        <f t="shared" si="89"/>
        <v>0</v>
      </c>
    </row>
    <row r="1081" spans="2:16">
      <c r="B1081" s="587" t="s">
        <v>868</v>
      </c>
      <c r="C1081" s="587" t="s">
        <v>882</v>
      </c>
      <c r="D1081" s="587" t="s">
        <v>873</v>
      </c>
      <c r="E1081" s="587"/>
      <c r="F1081" s="587" t="str">
        <f t="shared" si="86"/>
        <v>Tramway</v>
      </c>
      <c r="G1081" s="587">
        <f t="shared" si="87"/>
        <v>1</v>
      </c>
      <c r="H1081" s="587"/>
      <c r="I1081" s="587">
        <v>20</v>
      </c>
      <c r="J1081" s="587">
        <f t="shared" si="88"/>
        <v>4.8833333333333326E-2</v>
      </c>
      <c r="K1081" s="587"/>
      <c r="L1081" s="587"/>
      <c r="M1081" s="587">
        <f t="shared" si="89"/>
        <v>0</v>
      </c>
      <c r="N1081" s="587">
        <f t="shared" si="89"/>
        <v>0</v>
      </c>
      <c r="O1081" s="587">
        <f t="shared" si="89"/>
        <v>1</v>
      </c>
      <c r="P1081" s="587">
        <f t="shared" si="89"/>
        <v>0</v>
      </c>
    </row>
    <row r="1082" spans="2:16">
      <c r="B1082" s="587" t="s">
        <v>868</v>
      </c>
      <c r="C1082" s="587" t="s">
        <v>869</v>
      </c>
      <c r="D1082" s="587" t="s">
        <v>871</v>
      </c>
      <c r="E1082" s="587"/>
      <c r="F1082" s="587" t="str">
        <f t="shared" si="86"/>
        <v>Marche à pied (exclusivement sur tout le trajet)</v>
      </c>
      <c r="G1082" s="587">
        <f t="shared" si="87"/>
        <v>7</v>
      </c>
      <c r="H1082" s="587"/>
      <c r="I1082" s="587">
        <v>10</v>
      </c>
      <c r="J1082" s="587">
        <f t="shared" si="88"/>
        <v>0</v>
      </c>
      <c r="K1082" s="587"/>
      <c r="L1082" s="587"/>
      <c r="M1082" s="587">
        <f t="shared" si="89"/>
        <v>7</v>
      </c>
      <c r="N1082" s="587">
        <f t="shared" si="89"/>
        <v>0</v>
      </c>
      <c r="O1082" s="587">
        <f t="shared" si="89"/>
        <v>0</v>
      </c>
      <c r="P1082" s="587">
        <f t="shared" si="89"/>
        <v>0</v>
      </c>
    </row>
    <row r="1083" spans="2:16">
      <c r="B1083" s="587" t="s">
        <v>868</v>
      </c>
      <c r="C1083" s="587" t="s">
        <v>882</v>
      </c>
      <c r="D1083" s="587" t="s">
        <v>879</v>
      </c>
      <c r="E1083" s="587"/>
      <c r="F1083" s="587" t="str">
        <f t="shared" si="86"/>
        <v>Voiture (seul(e))</v>
      </c>
      <c r="G1083" s="587">
        <f t="shared" si="87"/>
        <v>3</v>
      </c>
      <c r="H1083" s="587"/>
      <c r="I1083" s="587">
        <v>50</v>
      </c>
      <c r="J1083" s="587">
        <f t="shared" si="88"/>
        <v>2.7600000000000002</v>
      </c>
      <c r="K1083" s="587"/>
      <c r="L1083" s="587"/>
      <c r="M1083" s="587">
        <f t="shared" si="89"/>
        <v>0</v>
      </c>
      <c r="N1083" s="587">
        <f t="shared" si="89"/>
        <v>0</v>
      </c>
      <c r="O1083" s="587">
        <f t="shared" si="89"/>
        <v>3</v>
      </c>
      <c r="P1083" s="587">
        <f t="shared" si="89"/>
        <v>0</v>
      </c>
    </row>
    <row r="1084" spans="2:16">
      <c r="B1084" s="587" t="s">
        <v>868</v>
      </c>
      <c r="C1084" s="587" t="s">
        <v>869</v>
      </c>
      <c r="D1084" s="587" t="s">
        <v>871</v>
      </c>
      <c r="E1084" s="587"/>
      <c r="F1084" s="587" t="str">
        <f t="shared" ref="F1084:F1147" si="90">IF(D1084="",E1084,D1084)</f>
        <v>Marche à pied (exclusivement sur tout le trajet)</v>
      </c>
      <c r="G1084" s="587">
        <f t="shared" ref="G1084:G1147" si="91">IF(F1084="Métro",1,IF(F1084="Tramway",1,IF(F1084="Vélo'v",7,IF(F1084="Marche à pied (exclusivement sur tout le trajet)",7,IF(F1084="Vélo personnel (y compris vélo à assistance électrique)",7,IF(F1084="Trottinette, roller, skateboard,…",7,IF(F1084="Marche à pied au-delà de 5 minutes",7,IF(F1084="Voiture (seul(e))",3,IF(F1084="Bus",2,IF(F1084="Trottinette, roller, skateboard au-delà de 5 minutes",7,IF(F1084="Covoiturage (passager(ère))",4,IF(F1084="Trottinette, roller, skateboard,...",7,IF(F1084="Vélo’v",7,IF(F1084="Train (TER,TGV,...)",6,IF(F1084="Deux roues motorisées (moto, scooter, mobylette,…)",5,IF(F1084="Covoiturage (conducteur(trice))",4,IF(F1084="Train (TER,..)",6,0)))))))))))))))))</f>
        <v>7</v>
      </c>
      <c r="H1084" s="587"/>
      <c r="I1084" s="587">
        <v>15</v>
      </c>
      <c r="J1084" s="587">
        <f t="shared" ref="J1084:J1147" si="92">IF(G1084=1,$C$6*($I$28*$K$6)/$J$6,IF(G1084=2,$C$7*($I$28*$K$7)/$J$7,IF(G1084=3,$C$8*$I$28*$K$8/$J$8,IF(G1084=4,$C$9*$I$28*$K$9/$J$9,IF(G1084=5,$C$10*$I$28*$K$10/$J$10,IF(G1084=6,$C$11*$K$11*$I$28/$J$11,0))))))</f>
        <v>0</v>
      </c>
      <c r="K1084" s="587"/>
      <c r="L1084" s="587"/>
      <c r="M1084" s="587">
        <f t="shared" si="89"/>
        <v>7</v>
      </c>
      <c r="N1084" s="587">
        <f t="shared" si="89"/>
        <v>0</v>
      </c>
      <c r="O1084" s="587">
        <f t="shared" si="89"/>
        <v>0</v>
      </c>
      <c r="P1084" s="587">
        <f t="shared" si="89"/>
        <v>0</v>
      </c>
    </row>
    <row r="1085" spans="2:16">
      <c r="B1085" s="587" t="s">
        <v>868</v>
      </c>
      <c r="C1085" s="587" t="s">
        <v>875</v>
      </c>
      <c r="D1085" s="587"/>
      <c r="E1085" s="587" t="s">
        <v>878</v>
      </c>
      <c r="F1085" s="587" t="str">
        <f t="shared" si="90"/>
        <v>Marche à pied au-delà de 5 minutes</v>
      </c>
      <c r="G1085" s="587">
        <f t="shared" si="91"/>
        <v>7</v>
      </c>
      <c r="H1085" s="587"/>
      <c r="I1085" s="587">
        <v>25</v>
      </c>
      <c r="J1085" s="587">
        <f t="shared" si="92"/>
        <v>0</v>
      </c>
      <c r="K1085" s="587"/>
      <c r="L1085" s="587"/>
      <c r="M1085" s="587">
        <f t="shared" si="89"/>
        <v>0</v>
      </c>
      <c r="N1085" s="587">
        <f t="shared" si="89"/>
        <v>7</v>
      </c>
      <c r="O1085" s="587">
        <f t="shared" si="89"/>
        <v>0</v>
      </c>
      <c r="P1085" s="587">
        <f t="shared" si="89"/>
        <v>0</v>
      </c>
    </row>
    <row r="1086" spans="2:16">
      <c r="B1086" s="587" t="s">
        <v>868</v>
      </c>
      <c r="C1086" s="587" t="s">
        <v>869</v>
      </c>
      <c r="D1086" s="587" t="s">
        <v>872</v>
      </c>
      <c r="E1086" s="587"/>
      <c r="F1086" s="587" t="str">
        <f t="shared" si="90"/>
        <v>Vélo personnel (y compris vélo à assistance électrique)</v>
      </c>
      <c r="G1086" s="587">
        <f t="shared" si="91"/>
        <v>7</v>
      </c>
      <c r="H1086" s="587"/>
      <c r="I1086" s="587">
        <v>10</v>
      </c>
      <c r="J1086" s="587">
        <f t="shared" si="92"/>
        <v>0</v>
      </c>
      <c r="K1086" s="587"/>
      <c r="L1086" s="587"/>
      <c r="M1086" s="587">
        <f t="shared" si="89"/>
        <v>7</v>
      </c>
      <c r="N1086" s="587">
        <f t="shared" si="89"/>
        <v>0</v>
      </c>
      <c r="O1086" s="587">
        <f t="shared" si="89"/>
        <v>0</v>
      </c>
      <c r="P1086" s="587">
        <f t="shared" si="89"/>
        <v>0</v>
      </c>
    </row>
    <row r="1087" spans="2:16">
      <c r="B1087" s="587" t="s">
        <v>868</v>
      </c>
      <c r="C1087" s="587" t="s">
        <v>869</v>
      </c>
      <c r="D1087" s="587" t="s">
        <v>871</v>
      </c>
      <c r="E1087" s="587"/>
      <c r="F1087" s="587" t="str">
        <f t="shared" si="90"/>
        <v>Marche à pied (exclusivement sur tout le trajet)</v>
      </c>
      <c r="G1087" s="587">
        <f t="shared" si="91"/>
        <v>7</v>
      </c>
      <c r="H1087" s="587"/>
      <c r="I1087" s="587">
        <v>5</v>
      </c>
      <c r="J1087" s="587">
        <f t="shared" si="92"/>
        <v>0</v>
      </c>
      <c r="K1087" s="587"/>
      <c r="L1087" s="587"/>
      <c r="M1087" s="587">
        <f t="shared" si="89"/>
        <v>7</v>
      </c>
      <c r="N1087" s="587">
        <f t="shared" si="89"/>
        <v>0</v>
      </c>
      <c r="O1087" s="587">
        <f t="shared" si="89"/>
        <v>0</v>
      </c>
      <c r="P1087" s="587">
        <f t="shared" si="89"/>
        <v>0</v>
      </c>
    </row>
    <row r="1088" spans="2:16">
      <c r="B1088" s="587" t="s">
        <v>868</v>
      </c>
      <c r="C1088" s="587" t="s">
        <v>869</v>
      </c>
      <c r="D1088" s="587" t="s">
        <v>871</v>
      </c>
      <c r="E1088" s="587"/>
      <c r="F1088" s="587" t="str">
        <f t="shared" si="90"/>
        <v>Marche à pied (exclusivement sur tout le trajet)</v>
      </c>
      <c r="G1088" s="587">
        <f t="shared" si="91"/>
        <v>7</v>
      </c>
      <c r="H1088" s="587"/>
      <c r="I1088" s="587">
        <v>20</v>
      </c>
      <c r="J1088" s="587">
        <f t="shared" si="92"/>
        <v>0</v>
      </c>
      <c r="K1088" s="587"/>
      <c r="L1088" s="587"/>
      <c r="M1088" s="587">
        <f t="shared" si="89"/>
        <v>7</v>
      </c>
      <c r="N1088" s="587">
        <f t="shared" si="89"/>
        <v>0</v>
      </c>
      <c r="O1088" s="587">
        <f t="shared" si="89"/>
        <v>0</v>
      </c>
      <c r="P1088" s="587">
        <f t="shared" si="89"/>
        <v>0</v>
      </c>
    </row>
    <row r="1089" spans="2:16">
      <c r="B1089" s="587" t="s">
        <v>868</v>
      </c>
      <c r="C1089" s="587" t="s">
        <v>869</v>
      </c>
      <c r="D1089" s="587"/>
      <c r="E1089" s="587" t="s">
        <v>870</v>
      </c>
      <c r="F1089" s="587" t="str">
        <f t="shared" si="90"/>
        <v>Métro</v>
      </c>
      <c r="G1089" s="587">
        <f t="shared" si="91"/>
        <v>1</v>
      </c>
      <c r="H1089" s="587"/>
      <c r="I1089" s="587">
        <v>45</v>
      </c>
      <c r="J1089" s="587">
        <f t="shared" si="92"/>
        <v>4.8833333333333326E-2</v>
      </c>
      <c r="K1089" s="587"/>
      <c r="L1089" s="587"/>
      <c r="M1089" s="587">
        <f t="shared" si="89"/>
        <v>1</v>
      </c>
      <c r="N1089" s="587">
        <f t="shared" si="89"/>
        <v>0</v>
      </c>
      <c r="O1089" s="587">
        <f t="shared" si="89"/>
        <v>0</v>
      </c>
      <c r="P1089" s="587">
        <f t="shared" si="89"/>
        <v>0</v>
      </c>
    </row>
    <row r="1090" spans="2:16">
      <c r="B1090" s="587" t="s">
        <v>868</v>
      </c>
      <c r="C1090" s="587" t="s">
        <v>869</v>
      </c>
      <c r="D1090" s="587" t="s">
        <v>871</v>
      </c>
      <c r="E1090" s="587"/>
      <c r="F1090" s="587" t="str">
        <f t="shared" si="90"/>
        <v>Marche à pied (exclusivement sur tout le trajet)</v>
      </c>
      <c r="G1090" s="587">
        <f t="shared" si="91"/>
        <v>7</v>
      </c>
      <c r="H1090" s="587"/>
      <c r="I1090" s="587">
        <v>5</v>
      </c>
      <c r="J1090" s="587">
        <f t="shared" si="92"/>
        <v>0</v>
      </c>
      <c r="K1090" s="587"/>
      <c r="L1090" s="587"/>
      <c r="M1090" s="587">
        <f t="shared" si="89"/>
        <v>7</v>
      </c>
      <c r="N1090" s="587">
        <f t="shared" si="89"/>
        <v>0</v>
      </c>
      <c r="O1090" s="587">
        <f t="shared" si="89"/>
        <v>0</v>
      </c>
      <c r="P1090" s="587">
        <f t="shared" si="89"/>
        <v>0</v>
      </c>
    </row>
    <row r="1091" spans="2:16">
      <c r="B1091" s="587" t="s">
        <v>868</v>
      </c>
      <c r="C1091" s="587" t="s">
        <v>869</v>
      </c>
      <c r="D1091" s="587" t="s">
        <v>871</v>
      </c>
      <c r="E1091" s="587"/>
      <c r="F1091" s="587" t="str">
        <f t="shared" si="90"/>
        <v>Marche à pied (exclusivement sur tout le trajet)</v>
      </c>
      <c r="G1091" s="587">
        <f t="shared" si="91"/>
        <v>7</v>
      </c>
      <c r="H1091" s="587"/>
      <c r="I1091" s="587">
        <v>10</v>
      </c>
      <c r="J1091" s="587">
        <f t="shared" si="92"/>
        <v>0</v>
      </c>
      <c r="K1091" s="587"/>
      <c r="L1091" s="587"/>
      <c r="M1091" s="587">
        <f t="shared" si="89"/>
        <v>7</v>
      </c>
      <c r="N1091" s="587">
        <f t="shared" si="89"/>
        <v>0</v>
      </c>
      <c r="O1091" s="587">
        <f t="shared" si="89"/>
        <v>0</v>
      </c>
      <c r="P1091" s="587">
        <f t="shared" si="89"/>
        <v>0</v>
      </c>
    </row>
    <row r="1092" spans="2:16">
      <c r="B1092" s="587" t="s">
        <v>868</v>
      </c>
      <c r="C1092" s="587" t="s">
        <v>875</v>
      </c>
      <c r="D1092" s="587"/>
      <c r="E1092" s="587" t="s">
        <v>872</v>
      </c>
      <c r="F1092" s="587" t="str">
        <f t="shared" si="90"/>
        <v>Vélo personnel (y compris vélo à assistance électrique)</v>
      </c>
      <c r="G1092" s="587">
        <f t="shared" si="91"/>
        <v>7</v>
      </c>
      <c r="H1092" s="587"/>
      <c r="I1092" s="587">
        <v>120</v>
      </c>
      <c r="J1092" s="587">
        <f t="shared" si="92"/>
        <v>0</v>
      </c>
      <c r="K1092" s="587"/>
      <c r="L1092" s="587"/>
      <c r="M1092" s="587">
        <f t="shared" si="89"/>
        <v>0</v>
      </c>
      <c r="N1092" s="587">
        <f t="shared" si="89"/>
        <v>7</v>
      </c>
      <c r="O1092" s="587">
        <f t="shared" si="89"/>
        <v>0</v>
      </c>
      <c r="P1092" s="587">
        <f t="shared" si="89"/>
        <v>0</v>
      </c>
    </row>
    <row r="1093" spans="2:16">
      <c r="B1093" s="587" t="s">
        <v>868</v>
      </c>
      <c r="C1093" s="587" t="s">
        <v>869</v>
      </c>
      <c r="D1093" s="587" t="s">
        <v>871</v>
      </c>
      <c r="E1093" s="587"/>
      <c r="F1093" s="587" t="str">
        <f t="shared" si="90"/>
        <v>Marche à pied (exclusivement sur tout le trajet)</v>
      </c>
      <c r="G1093" s="587">
        <f t="shared" si="91"/>
        <v>7</v>
      </c>
      <c r="H1093" s="587"/>
      <c r="I1093" s="587">
        <v>10</v>
      </c>
      <c r="J1093" s="587">
        <f t="shared" si="92"/>
        <v>0</v>
      </c>
      <c r="K1093" s="587"/>
      <c r="L1093" s="587"/>
      <c r="M1093" s="587">
        <f t="shared" si="89"/>
        <v>7</v>
      </c>
      <c r="N1093" s="587">
        <f t="shared" si="89"/>
        <v>0</v>
      </c>
      <c r="O1093" s="587">
        <f t="shared" si="89"/>
        <v>0</v>
      </c>
      <c r="P1093" s="587">
        <f t="shared" si="89"/>
        <v>0</v>
      </c>
    </row>
    <row r="1094" spans="2:16">
      <c r="B1094" s="587" t="s">
        <v>868</v>
      </c>
      <c r="C1094" s="587" t="s">
        <v>869</v>
      </c>
      <c r="D1094" s="587" t="s">
        <v>871</v>
      </c>
      <c r="E1094" s="587"/>
      <c r="F1094" s="587" t="str">
        <f t="shared" si="90"/>
        <v>Marche à pied (exclusivement sur tout le trajet)</v>
      </c>
      <c r="G1094" s="587">
        <f t="shared" si="91"/>
        <v>7</v>
      </c>
      <c r="H1094" s="587"/>
      <c r="I1094" s="587">
        <v>20</v>
      </c>
      <c r="J1094" s="587">
        <f t="shared" si="92"/>
        <v>0</v>
      </c>
      <c r="K1094" s="587"/>
      <c r="L1094" s="587"/>
      <c r="M1094" s="587">
        <f t="shared" si="89"/>
        <v>7</v>
      </c>
      <c r="N1094" s="587">
        <f t="shared" si="89"/>
        <v>0</v>
      </c>
      <c r="O1094" s="587">
        <f t="shared" si="89"/>
        <v>0</v>
      </c>
      <c r="P1094" s="587">
        <f t="shared" si="89"/>
        <v>0</v>
      </c>
    </row>
    <row r="1095" spans="2:16">
      <c r="B1095" s="587" t="s">
        <v>868</v>
      </c>
      <c r="C1095" s="587" t="s">
        <v>869</v>
      </c>
      <c r="D1095" s="587" t="s">
        <v>872</v>
      </c>
      <c r="E1095" s="587"/>
      <c r="F1095" s="587" t="str">
        <f t="shared" si="90"/>
        <v>Vélo personnel (y compris vélo à assistance électrique)</v>
      </c>
      <c r="G1095" s="587">
        <f t="shared" si="91"/>
        <v>7</v>
      </c>
      <c r="H1095" s="587"/>
      <c r="I1095" s="587">
        <v>10</v>
      </c>
      <c r="J1095" s="587">
        <f t="shared" si="92"/>
        <v>0</v>
      </c>
      <c r="K1095" s="587"/>
      <c r="L1095" s="587"/>
      <c r="M1095" s="587">
        <f t="shared" si="89"/>
        <v>7</v>
      </c>
      <c r="N1095" s="587">
        <f t="shared" si="89"/>
        <v>0</v>
      </c>
      <c r="O1095" s="587">
        <f t="shared" si="89"/>
        <v>0</v>
      </c>
      <c r="P1095" s="587">
        <f t="shared" si="89"/>
        <v>0</v>
      </c>
    </row>
    <row r="1096" spans="2:16">
      <c r="B1096" s="587" t="s">
        <v>868</v>
      </c>
      <c r="C1096" s="587" t="s">
        <v>869</v>
      </c>
      <c r="D1096" s="587" t="s">
        <v>872</v>
      </c>
      <c r="E1096" s="587"/>
      <c r="F1096" s="587" t="str">
        <f t="shared" si="90"/>
        <v>Vélo personnel (y compris vélo à assistance électrique)</v>
      </c>
      <c r="G1096" s="587">
        <f t="shared" si="91"/>
        <v>7</v>
      </c>
      <c r="H1096" s="587"/>
      <c r="I1096" s="587">
        <v>15</v>
      </c>
      <c r="J1096" s="587">
        <f t="shared" si="92"/>
        <v>0</v>
      </c>
      <c r="K1096" s="587"/>
      <c r="L1096" s="587"/>
      <c r="M1096" s="587">
        <f t="shared" si="89"/>
        <v>7</v>
      </c>
      <c r="N1096" s="587">
        <f t="shared" si="89"/>
        <v>0</v>
      </c>
      <c r="O1096" s="587">
        <f t="shared" si="89"/>
        <v>0</v>
      </c>
      <c r="P1096" s="587">
        <f t="shared" si="89"/>
        <v>0</v>
      </c>
    </row>
    <row r="1097" spans="2:16">
      <c r="B1097" s="587" t="s">
        <v>868</v>
      </c>
      <c r="C1097" s="587" t="s">
        <v>869</v>
      </c>
      <c r="D1097" s="587" t="s">
        <v>871</v>
      </c>
      <c r="E1097" s="587"/>
      <c r="F1097" s="587" t="str">
        <f t="shared" si="90"/>
        <v>Marche à pied (exclusivement sur tout le trajet)</v>
      </c>
      <c r="G1097" s="587">
        <f t="shared" si="91"/>
        <v>7</v>
      </c>
      <c r="H1097" s="587"/>
      <c r="I1097" s="587">
        <v>10</v>
      </c>
      <c r="J1097" s="587">
        <f t="shared" si="92"/>
        <v>0</v>
      </c>
      <c r="K1097" s="587"/>
      <c r="L1097" s="587"/>
      <c r="M1097" s="587">
        <f t="shared" si="89"/>
        <v>7</v>
      </c>
      <c r="N1097" s="587">
        <f t="shared" si="89"/>
        <v>0</v>
      </c>
      <c r="O1097" s="587">
        <f t="shared" si="89"/>
        <v>0</v>
      </c>
      <c r="P1097" s="587">
        <f t="shared" si="89"/>
        <v>0</v>
      </c>
    </row>
    <row r="1098" spans="2:16">
      <c r="B1098" s="587" t="s">
        <v>868</v>
      </c>
      <c r="C1098" s="587" t="s">
        <v>869</v>
      </c>
      <c r="D1098" s="587" t="s">
        <v>872</v>
      </c>
      <c r="E1098" s="587"/>
      <c r="F1098" s="587" t="str">
        <f t="shared" si="90"/>
        <v>Vélo personnel (y compris vélo à assistance électrique)</v>
      </c>
      <c r="G1098" s="587">
        <f t="shared" si="91"/>
        <v>7</v>
      </c>
      <c r="H1098" s="587"/>
      <c r="I1098" s="587">
        <v>10</v>
      </c>
      <c r="J1098" s="587">
        <f t="shared" si="92"/>
        <v>0</v>
      </c>
      <c r="K1098" s="587"/>
      <c r="L1098" s="587"/>
      <c r="M1098" s="587">
        <f t="shared" si="89"/>
        <v>7</v>
      </c>
      <c r="N1098" s="587">
        <f t="shared" si="89"/>
        <v>0</v>
      </c>
      <c r="O1098" s="587">
        <f t="shared" si="89"/>
        <v>0</v>
      </c>
      <c r="P1098" s="587">
        <f t="shared" si="89"/>
        <v>0</v>
      </c>
    </row>
    <row r="1099" spans="2:16">
      <c r="B1099" s="587" t="s">
        <v>868</v>
      </c>
      <c r="C1099" s="587" t="s">
        <v>869</v>
      </c>
      <c r="D1099" s="587" t="s">
        <v>873</v>
      </c>
      <c r="E1099" s="587"/>
      <c r="F1099" s="587" t="str">
        <f t="shared" si="90"/>
        <v>Tramway</v>
      </c>
      <c r="G1099" s="587">
        <f t="shared" si="91"/>
        <v>1</v>
      </c>
      <c r="H1099" s="587"/>
      <c r="I1099" s="587">
        <v>10</v>
      </c>
      <c r="J1099" s="587">
        <f t="shared" si="92"/>
        <v>4.8833333333333326E-2</v>
      </c>
      <c r="K1099" s="587"/>
      <c r="L1099" s="587"/>
      <c r="M1099" s="587">
        <f t="shared" si="89"/>
        <v>1</v>
      </c>
      <c r="N1099" s="587">
        <f t="shared" si="89"/>
        <v>0</v>
      </c>
      <c r="O1099" s="587">
        <f t="shared" si="89"/>
        <v>0</v>
      </c>
      <c r="P1099" s="587">
        <f t="shared" si="89"/>
        <v>0</v>
      </c>
    </row>
    <row r="1100" spans="2:16">
      <c r="B1100" s="587" t="s">
        <v>868</v>
      </c>
      <c r="C1100" s="587" t="s">
        <v>869</v>
      </c>
      <c r="D1100" s="587" t="s">
        <v>871</v>
      </c>
      <c r="E1100" s="587"/>
      <c r="F1100" s="587" t="str">
        <f t="shared" si="90"/>
        <v>Marche à pied (exclusivement sur tout le trajet)</v>
      </c>
      <c r="G1100" s="587">
        <f t="shared" si="91"/>
        <v>7</v>
      </c>
      <c r="H1100" s="587"/>
      <c r="I1100" s="587">
        <v>2</v>
      </c>
      <c r="J1100" s="587">
        <f t="shared" si="92"/>
        <v>0</v>
      </c>
      <c r="K1100" s="587"/>
      <c r="L1100" s="587"/>
      <c r="M1100" s="587">
        <f t="shared" si="89"/>
        <v>7</v>
      </c>
      <c r="N1100" s="587">
        <f t="shared" si="89"/>
        <v>0</v>
      </c>
      <c r="O1100" s="587">
        <f t="shared" si="89"/>
        <v>0</v>
      </c>
      <c r="P1100" s="587">
        <f t="shared" si="89"/>
        <v>0</v>
      </c>
    </row>
    <row r="1101" spans="2:16">
      <c r="B1101" s="587" t="s">
        <v>868</v>
      </c>
      <c r="C1101" s="587" t="s">
        <v>869</v>
      </c>
      <c r="D1101" s="587" t="s">
        <v>871</v>
      </c>
      <c r="E1101" s="587"/>
      <c r="F1101" s="587" t="str">
        <f t="shared" si="90"/>
        <v>Marche à pied (exclusivement sur tout le trajet)</v>
      </c>
      <c r="G1101" s="587">
        <f t="shared" si="91"/>
        <v>7</v>
      </c>
      <c r="H1101" s="587"/>
      <c r="I1101" s="587">
        <v>10</v>
      </c>
      <c r="J1101" s="587">
        <f t="shared" si="92"/>
        <v>0</v>
      </c>
      <c r="K1101" s="587"/>
      <c r="L1101" s="587"/>
      <c r="M1101" s="587">
        <f t="shared" si="89"/>
        <v>7</v>
      </c>
      <c r="N1101" s="587">
        <f t="shared" si="89"/>
        <v>0</v>
      </c>
      <c r="O1101" s="587">
        <f t="shared" si="89"/>
        <v>0</v>
      </c>
      <c r="P1101" s="587">
        <f t="shared" si="89"/>
        <v>0</v>
      </c>
    </row>
    <row r="1102" spans="2:16">
      <c r="B1102" s="587" t="s">
        <v>868</v>
      </c>
      <c r="C1102" s="587" t="s">
        <v>869</v>
      </c>
      <c r="D1102" s="587" t="s">
        <v>872</v>
      </c>
      <c r="E1102" s="587"/>
      <c r="F1102" s="587" t="str">
        <f t="shared" si="90"/>
        <v>Vélo personnel (y compris vélo à assistance électrique)</v>
      </c>
      <c r="G1102" s="587">
        <f t="shared" si="91"/>
        <v>7</v>
      </c>
      <c r="H1102" s="587"/>
      <c r="I1102" s="587">
        <v>7</v>
      </c>
      <c r="J1102" s="587">
        <f t="shared" si="92"/>
        <v>0</v>
      </c>
      <c r="K1102" s="587"/>
      <c r="L1102" s="587"/>
      <c r="M1102" s="587">
        <f t="shared" si="89"/>
        <v>7</v>
      </c>
      <c r="N1102" s="587">
        <f t="shared" si="89"/>
        <v>0</v>
      </c>
      <c r="O1102" s="587">
        <f t="shared" si="89"/>
        <v>0</v>
      </c>
      <c r="P1102" s="587">
        <f t="shared" si="89"/>
        <v>0</v>
      </c>
    </row>
    <row r="1103" spans="2:16">
      <c r="B1103" s="587" t="s">
        <v>868</v>
      </c>
      <c r="C1103" s="587" t="s">
        <v>882</v>
      </c>
      <c r="D1103" s="587" t="s">
        <v>879</v>
      </c>
      <c r="E1103" s="587"/>
      <c r="F1103" s="587" t="str">
        <f t="shared" si="90"/>
        <v>Voiture (seul(e))</v>
      </c>
      <c r="G1103" s="587">
        <f t="shared" si="91"/>
        <v>3</v>
      </c>
      <c r="H1103" s="587"/>
      <c r="I1103" s="587">
        <v>35</v>
      </c>
      <c r="J1103" s="587">
        <f t="shared" si="92"/>
        <v>2.7600000000000002</v>
      </c>
      <c r="K1103" s="587"/>
      <c r="L1103" s="587"/>
      <c r="M1103" s="587">
        <f t="shared" si="89"/>
        <v>0</v>
      </c>
      <c r="N1103" s="587">
        <f t="shared" si="89"/>
        <v>0</v>
      </c>
      <c r="O1103" s="587">
        <f t="shared" si="89"/>
        <v>3</v>
      </c>
      <c r="P1103" s="587">
        <f t="shared" si="89"/>
        <v>0</v>
      </c>
    </row>
    <row r="1104" spans="2:16">
      <c r="B1104" s="587" t="s">
        <v>868</v>
      </c>
      <c r="C1104" s="587" t="s">
        <v>869</v>
      </c>
      <c r="D1104" s="587" t="s">
        <v>871</v>
      </c>
      <c r="E1104" s="587"/>
      <c r="F1104" s="587" t="str">
        <f t="shared" si="90"/>
        <v>Marche à pied (exclusivement sur tout le trajet)</v>
      </c>
      <c r="G1104" s="587">
        <f t="shared" si="91"/>
        <v>7</v>
      </c>
      <c r="H1104" s="587"/>
      <c r="I1104" s="587">
        <v>3</v>
      </c>
      <c r="J1104" s="587">
        <f t="shared" si="92"/>
        <v>0</v>
      </c>
      <c r="K1104" s="587"/>
      <c r="L1104" s="587"/>
      <c r="M1104" s="587">
        <f t="shared" si="89"/>
        <v>7</v>
      </c>
      <c r="N1104" s="587">
        <f t="shared" si="89"/>
        <v>0</v>
      </c>
      <c r="O1104" s="587">
        <f t="shared" si="89"/>
        <v>0</v>
      </c>
      <c r="P1104" s="587">
        <f t="shared" si="89"/>
        <v>0</v>
      </c>
    </row>
    <row r="1105" spans="2:16">
      <c r="B1105" s="587" t="s">
        <v>868</v>
      </c>
      <c r="C1105" s="587" t="s">
        <v>882</v>
      </c>
      <c r="D1105" s="587" t="s">
        <v>873</v>
      </c>
      <c r="E1105" s="587"/>
      <c r="F1105" s="587" t="str">
        <f t="shared" si="90"/>
        <v>Tramway</v>
      </c>
      <c r="G1105" s="587">
        <f t="shared" si="91"/>
        <v>1</v>
      </c>
      <c r="H1105" s="587"/>
      <c r="I1105" s="587">
        <v>40</v>
      </c>
      <c r="J1105" s="587">
        <f t="shared" si="92"/>
        <v>4.8833333333333326E-2</v>
      </c>
      <c r="K1105" s="587"/>
      <c r="L1105" s="587"/>
      <c r="M1105" s="587">
        <f t="shared" si="89"/>
        <v>0</v>
      </c>
      <c r="N1105" s="587">
        <f t="shared" si="89"/>
        <v>0</v>
      </c>
      <c r="O1105" s="587">
        <f t="shared" si="89"/>
        <v>1</v>
      </c>
      <c r="P1105" s="587">
        <f t="shared" si="89"/>
        <v>0</v>
      </c>
    </row>
    <row r="1106" spans="2:16">
      <c r="B1106" s="587" t="s">
        <v>868</v>
      </c>
      <c r="C1106" s="587" t="s">
        <v>869</v>
      </c>
      <c r="D1106" s="587" t="s">
        <v>872</v>
      </c>
      <c r="E1106" s="587"/>
      <c r="F1106" s="587" t="str">
        <f t="shared" si="90"/>
        <v>Vélo personnel (y compris vélo à assistance électrique)</v>
      </c>
      <c r="G1106" s="587">
        <f t="shared" si="91"/>
        <v>7</v>
      </c>
      <c r="H1106" s="587"/>
      <c r="I1106" s="587">
        <v>10</v>
      </c>
      <c r="J1106" s="587">
        <f t="shared" si="92"/>
        <v>0</v>
      </c>
      <c r="K1106" s="587"/>
      <c r="L1106" s="587"/>
      <c r="M1106" s="587">
        <f t="shared" si="89"/>
        <v>7</v>
      </c>
      <c r="N1106" s="587">
        <f t="shared" si="89"/>
        <v>0</v>
      </c>
      <c r="O1106" s="587">
        <f t="shared" si="89"/>
        <v>0</v>
      </c>
      <c r="P1106" s="587">
        <f t="shared" si="89"/>
        <v>0</v>
      </c>
    </row>
    <row r="1107" spans="2:16">
      <c r="B1107" s="587" t="s">
        <v>868</v>
      </c>
      <c r="C1107" s="587" t="s">
        <v>869</v>
      </c>
      <c r="D1107" s="587" t="s">
        <v>871</v>
      </c>
      <c r="E1107" s="587"/>
      <c r="F1107" s="587" t="str">
        <f t="shared" si="90"/>
        <v>Marche à pied (exclusivement sur tout le trajet)</v>
      </c>
      <c r="G1107" s="587">
        <f t="shared" si="91"/>
        <v>7</v>
      </c>
      <c r="H1107" s="587"/>
      <c r="I1107" s="587">
        <v>10</v>
      </c>
      <c r="J1107" s="587">
        <f t="shared" si="92"/>
        <v>0</v>
      </c>
      <c r="K1107" s="587"/>
      <c r="L1107" s="587"/>
      <c r="M1107" s="587">
        <f t="shared" si="89"/>
        <v>7</v>
      </c>
      <c r="N1107" s="587">
        <f t="shared" si="89"/>
        <v>0</v>
      </c>
      <c r="O1107" s="587">
        <f t="shared" si="89"/>
        <v>0</v>
      </c>
      <c r="P1107" s="587">
        <f t="shared" si="89"/>
        <v>0</v>
      </c>
    </row>
    <row r="1108" spans="2:16">
      <c r="B1108" s="587" t="s">
        <v>868</v>
      </c>
      <c r="C1108" s="587" t="s">
        <v>869</v>
      </c>
      <c r="D1108" s="587" t="s">
        <v>871</v>
      </c>
      <c r="E1108" s="587"/>
      <c r="F1108" s="587" t="str">
        <f t="shared" si="90"/>
        <v>Marche à pied (exclusivement sur tout le trajet)</v>
      </c>
      <c r="G1108" s="587">
        <f t="shared" si="91"/>
        <v>7</v>
      </c>
      <c r="H1108" s="587"/>
      <c r="I1108" s="587">
        <v>10</v>
      </c>
      <c r="J1108" s="587">
        <f t="shared" si="92"/>
        <v>0</v>
      </c>
      <c r="K1108" s="587"/>
      <c r="L1108" s="587"/>
      <c r="M1108" s="587">
        <f t="shared" si="89"/>
        <v>7</v>
      </c>
      <c r="N1108" s="587">
        <f t="shared" si="89"/>
        <v>0</v>
      </c>
      <c r="O1108" s="587">
        <f t="shared" si="89"/>
        <v>0</v>
      </c>
      <c r="P1108" s="587">
        <f t="shared" si="89"/>
        <v>0</v>
      </c>
    </row>
    <row r="1109" spans="2:16">
      <c r="B1109" s="587" t="s">
        <v>868</v>
      </c>
      <c r="C1109" s="587" t="s">
        <v>869</v>
      </c>
      <c r="D1109" s="587" t="s">
        <v>871</v>
      </c>
      <c r="E1109" s="587"/>
      <c r="F1109" s="587" t="str">
        <f t="shared" si="90"/>
        <v>Marche à pied (exclusivement sur tout le trajet)</v>
      </c>
      <c r="G1109" s="587">
        <f t="shared" si="91"/>
        <v>7</v>
      </c>
      <c r="H1109" s="587"/>
      <c r="I1109" s="587">
        <v>5</v>
      </c>
      <c r="J1109" s="587">
        <f t="shared" si="92"/>
        <v>0</v>
      </c>
      <c r="K1109" s="587"/>
      <c r="L1109" s="587"/>
      <c r="M1109" s="587">
        <f t="shared" si="89"/>
        <v>7</v>
      </c>
      <c r="N1109" s="587">
        <f t="shared" si="89"/>
        <v>0</v>
      </c>
      <c r="O1109" s="587">
        <f t="shared" si="89"/>
        <v>0</v>
      </c>
      <c r="P1109" s="587">
        <f t="shared" si="89"/>
        <v>0</v>
      </c>
    </row>
    <row r="1110" spans="2:16">
      <c r="B1110" s="587" t="s">
        <v>868</v>
      </c>
      <c r="C1110" s="587" t="s">
        <v>869</v>
      </c>
      <c r="D1110" s="587" t="s">
        <v>871</v>
      </c>
      <c r="E1110" s="587"/>
      <c r="F1110" s="587" t="str">
        <f t="shared" si="90"/>
        <v>Marche à pied (exclusivement sur tout le trajet)</v>
      </c>
      <c r="G1110" s="587">
        <f t="shared" si="91"/>
        <v>7</v>
      </c>
      <c r="H1110" s="587"/>
      <c r="I1110" s="587">
        <v>10</v>
      </c>
      <c r="J1110" s="587">
        <f t="shared" si="92"/>
        <v>0</v>
      </c>
      <c r="K1110" s="587"/>
      <c r="L1110" s="587"/>
      <c r="M1110" s="587">
        <f t="shared" si="89"/>
        <v>7</v>
      </c>
      <c r="N1110" s="587">
        <f t="shared" si="89"/>
        <v>0</v>
      </c>
      <c r="O1110" s="587">
        <f t="shared" si="89"/>
        <v>0</v>
      </c>
      <c r="P1110" s="587">
        <f t="shared" si="89"/>
        <v>0</v>
      </c>
    </row>
    <row r="1111" spans="2:16">
      <c r="B1111" s="587" t="s">
        <v>868</v>
      </c>
      <c r="C1111" s="587" t="s">
        <v>869</v>
      </c>
      <c r="D1111" s="587" t="s">
        <v>871</v>
      </c>
      <c r="E1111" s="587"/>
      <c r="F1111" s="587" t="str">
        <f t="shared" si="90"/>
        <v>Marche à pied (exclusivement sur tout le trajet)</v>
      </c>
      <c r="G1111" s="587">
        <f t="shared" si="91"/>
        <v>7</v>
      </c>
      <c r="H1111" s="587"/>
      <c r="I1111" s="587">
        <v>7</v>
      </c>
      <c r="J1111" s="587">
        <f t="shared" si="92"/>
        <v>0</v>
      </c>
      <c r="K1111" s="587"/>
      <c r="L1111" s="587"/>
      <c r="M1111" s="587">
        <f t="shared" si="89"/>
        <v>7</v>
      </c>
      <c r="N1111" s="587">
        <f t="shared" si="89"/>
        <v>0</v>
      </c>
      <c r="O1111" s="587">
        <f t="shared" si="89"/>
        <v>0</v>
      </c>
      <c r="P1111" s="587">
        <f t="shared" si="89"/>
        <v>0</v>
      </c>
    </row>
    <row r="1112" spans="2:16">
      <c r="B1112" s="587" t="s">
        <v>868</v>
      </c>
      <c r="C1112" s="587" t="s">
        <v>869</v>
      </c>
      <c r="D1112" s="587" t="s">
        <v>879</v>
      </c>
      <c r="E1112" s="587"/>
      <c r="F1112" s="587" t="str">
        <f t="shared" si="90"/>
        <v>Voiture (seul(e))</v>
      </c>
      <c r="G1112" s="587">
        <f t="shared" si="91"/>
        <v>3</v>
      </c>
      <c r="H1112" s="587"/>
      <c r="I1112" s="587">
        <v>8</v>
      </c>
      <c r="J1112" s="587">
        <f t="shared" si="92"/>
        <v>2.7600000000000002</v>
      </c>
      <c r="K1112" s="587"/>
      <c r="L1112" s="587"/>
      <c r="M1112" s="587">
        <f t="shared" si="89"/>
        <v>3</v>
      </c>
      <c r="N1112" s="587">
        <f t="shared" si="89"/>
        <v>0</v>
      </c>
      <c r="O1112" s="587">
        <f t="shared" si="89"/>
        <v>0</v>
      </c>
      <c r="P1112" s="587">
        <f t="shared" si="89"/>
        <v>0</v>
      </c>
    </row>
    <row r="1113" spans="2:16">
      <c r="B1113" s="587" t="s">
        <v>868</v>
      </c>
      <c r="C1113" s="587" t="s">
        <v>869</v>
      </c>
      <c r="D1113" s="587" t="s">
        <v>871</v>
      </c>
      <c r="E1113" s="587"/>
      <c r="F1113" s="587" t="str">
        <f t="shared" si="90"/>
        <v>Marche à pied (exclusivement sur tout le trajet)</v>
      </c>
      <c r="G1113" s="587">
        <f t="shared" si="91"/>
        <v>7</v>
      </c>
      <c r="H1113" s="587"/>
      <c r="I1113" s="587">
        <v>2</v>
      </c>
      <c r="J1113" s="587">
        <f t="shared" si="92"/>
        <v>0</v>
      </c>
      <c r="K1113" s="587"/>
      <c r="L1113" s="587"/>
      <c r="M1113" s="587">
        <f t="shared" si="89"/>
        <v>7</v>
      </c>
      <c r="N1113" s="587">
        <f t="shared" si="89"/>
        <v>0</v>
      </c>
      <c r="O1113" s="587">
        <f t="shared" si="89"/>
        <v>0</v>
      </c>
      <c r="P1113" s="587">
        <f t="shared" ref="P1113:P1176" si="93">IF($C1113=P$27,$G1113,0)</f>
        <v>0</v>
      </c>
    </row>
    <row r="1114" spans="2:16">
      <c r="B1114" s="587" t="s">
        <v>868</v>
      </c>
      <c r="C1114" s="587" t="s">
        <v>869</v>
      </c>
      <c r="D1114" s="587" t="s">
        <v>871</v>
      </c>
      <c r="E1114" s="587"/>
      <c r="F1114" s="587" t="str">
        <f t="shared" si="90"/>
        <v>Marche à pied (exclusivement sur tout le trajet)</v>
      </c>
      <c r="G1114" s="587">
        <f t="shared" si="91"/>
        <v>7</v>
      </c>
      <c r="H1114" s="587"/>
      <c r="I1114" s="587">
        <v>10</v>
      </c>
      <c r="J1114" s="587">
        <f t="shared" si="92"/>
        <v>0</v>
      </c>
      <c r="K1114" s="587"/>
      <c r="L1114" s="587"/>
      <c r="M1114" s="587">
        <f t="shared" ref="M1114:P1177" si="94">IF($C1114=M$27,$G1114,0)</f>
        <v>7</v>
      </c>
      <c r="N1114" s="587">
        <f t="shared" si="94"/>
        <v>0</v>
      </c>
      <c r="O1114" s="587">
        <f t="shared" si="94"/>
        <v>0</v>
      </c>
      <c r="P1114" s="587">
        <f t="shared" si="93"/>
        <v>0</v>
      </c>
    </row>
    <row r="1115" spans="2:16">
      <c r="B1115" s="587" t="s">
        <v>868</v>
      </c>
      <c r="C1115" s="587" t="s">
        <v>869</v>
      </c>
      <c r="D1115" s="587" t="s">
        <v>871</v>
      </c>
      <c r="E1115" s="587"/>
      <c r="F1115" s="587" t="str">
        <f t="shared" si="90"/>
        <v>Marche à pied (exclusivement sur tout le trajet)</v>
      </c>
      <c r="G1115" s="587">
        <f t="shared" si="91"/>
        <v>7</v>
      </c>
      <c r="H1115" s="587"/>
      <c r="I1115" s="587">
        <v>3</v>
      </c>
      <c r="J1115" s="587">
        <f t="shared" si="92"/>
        <v>0</v>
      </c>
      <c r="K1115" s="587"/>
      <c r="L1115" s="587"/>
      <c r="M1115" s="587">
        <f t="shared" si="94"/>
        <v>7</v>
      </c>
      <c r="N1115" s="587">
        <f t="shared" si="94"/>
        <v>0</v>
      </c>
      <c r="O1115" s="587">
        <f t="shared" si="94"/>
        <v>0</v>
      </c>
      <c r="P1115" s="587">
        <f t="shared" si="93"/>
        <v>0</v>
      </c>
    </row>
    <row r="1116" spans="2:16">
      <c r="B1116" s="587" t="s">
        <v>868</v>
      </c>
      <c r="C1116" s="587" t="s">
        <v>869</v>
      </c>
      <c r="D1116" s="587" t="s">
        <v>871</v>
      </c>
      <c r="E1116" s="587"/>
      <c r="F1116" s="587" t="str">
        <f t="shared" si="90"/>
        <v>Marche à pied (exclusivement sur tout le trajet)</v>
      </c>
      <c r="G1116" s="587">
        <f t="shared" si="91"/>
        <v>7</v>
      </c>
      <c r="H1116" s="587"/>
      <c r="I1116" s="587">
        <v>10</v>
      </c>
      <c r="J1116" s="587">
        <f t="shared" si="92"/>
        <v>0</v>
      </c>
      <c r="K1116" s="587"/>
      <c r="L1116" s="587"/>
      <c r="M1116" s="587">
        <f t="shared" si="94"/>
        <v>7</v>
      </c>
      <c r="N1116" s="587">
        <f t="shared" si="94"/>
        <v>0</v>
      </c>
      <c r="O1116" s="587">
        <f t="shared" si="94"/>
        <v>0</v>
      </c>
      <c r="P1116" s="587">
        <f t="shared" si="93"/>
        <v>0</v>
      </c>
    </row>
    <row r="1117" spans="2:16">
      <c r="B1117" s="587" t="s">
        <v>868</v>
      </c>
      <c r="C1117" s="587" t="s">
        <v>869</v>
      </c>
      <c r="D1117" s="587" t="s">
        <v>872</v>
      </c>
      <c r="E1117" s="587"/>
      <c r="F1117" s="587" t="str">
        <f t="shared" si="90"/>
        <v>Vélo personnel (y compris vélo à assistance électrique)</v>
      </c>
      <c r="G1117" s="587">
        <f t="shared" si="91"/>
        <v>7</v>
      </c>
      <c r="H1117" s="587"/>
      <c r="I1117" s="587">
        <v>10</v>
      </c>
      <c r="J1117" s="587">
        <f t="shared" si="92"/>
        <v>0</v>
      </c>
      <c r="K1117" s="587"/>
      <c r="L1117" s="587"/>
      <c r="M1117" s="587">
        <f t="shared" si="94"/>
        <v>7</v>
      </c>
      <c r="N1117" s="587">
        <f t="shared" si="94"/>
        <v>0</v>
      </c>
      <c r="O1117" s="587">
        <f t="shared" si="94"/>
        <v>0</v>
      </c>
      <c r="P1117" s="587">
        <f t="shared" si="93"/>
        <v>0</v>
      </c>
    </row>
    <row r="1118" spans="2:16">
      <c r="B1118" s="587" t="s">
        <v>868</v>
      </c>
      <c r="C1118" s="587" t="s">
        <v>869</v>
      </c>
      <c r="D1118" s="587" t="s">
        <v>872</v>
      </c>
      <c r="E1118" s="587"/>
      <c r="F1118" s="587" t="str">
        <f t="shared" si="90"/>
        <v>Vélo personnel (y compris vélo à assistance électrique)</v>
      </c>
      <c r="G1118" s="587">
        <f t="shared" si="91"/>
        <v>7</v>
      </c>
      <c r="H1118" s="587"/>
      <c r="I1118" s="587">
        <v>10</v>
      </c>
      <c r="J1118" s="587">
        <f t="shared" si="92"/>
        <v>0</v>
      </c>
      <c r="K1118" s="587"/>
      <c r="L1118" s="587"/>
      <c r="M1118" s="587">
        <f t="shared" si="94"/>
        <v>7</v>
      </c>
      <c r="N1118" s="587">
        <f t="shared" si="94"/>
        <v>0</v>
      </c>
      <c r="O1118" s="587">
        <f t="shared" si="94"/>
        <v>0</v>
      </c>
      <c r="P1118" s="587">
        <f t="shared" si="93"/>
        <v>0</v>
      </c>
    </row>
    <row r="1119" spans="2:16">
      <c r="B1119" s="587" t="s">
        <v>868</v>
      </c>
      <c r="C1119" s="587" t="s">
        <v>875</v>
      </c>
      <c r="D1119" s="587" t="s">
        <v>879</v>
      </c>
      <c r="E1119" s="587"/>
      <c r="F1119" s="587" t="str">
        <f t="shared" si="90"/>
        <v>Voiture (seul(e))</v>
      </c>
      <c r="G1119" s="587">
        <f t="shared" si="91"/>
        <v>3</v>
      </c>
      <c r="H1119" s="587"/>
      <c r="I1119" s="587">
        <v>20</v>
      </c>
      <c r="J1119" s="587">
        <f t="shared" si="92"/>
        <v>2.7600000000000002</v>
      </c>
      <c r="K1119" s="587"/>
      <c r="L1119" s="587"/>
      <c r="M1119" s="587">
        <f t="shared" si="94"/>
        <v>0</v>
      </c>
      <c r="N1119" s="587">
        <f t="shared" si="94"/>
        <v>3</v>
      </c>
      <c r="O1119" s="587">
        <f t="shared" si="94"/>
        <v>0</v>
      </c>
      <c r="P1119" s="587">
        <f t="shared" si="93"/>
        <v>0</v>
      </c>
    </row>
    <row r="1120" spans="2:16">
      <c r="B1120" s="587" t="s">
        <v>868</v>
      </c>
      <c r="C1120" s="587" t="s">
        <v>869</v>
      </c>
      <c r="D1120" s="587" t="s">
        <v>871</v>
      </c>
      <c r="E1120" s="587"/>
      <c r="F1120" s="587" t="str">
        <f t="shared" si="90"/>
        <v>Marche à pied (exclusivement sur tout le trajet)</v>
      </c>
      <c r="G1120" s="587">
        <f t="shared" si="91"/>
        <v>7</v>
      </c>
      <c r="H1120" s="587"/>
      <c r="I1120" s="587">
        <v>10</v>
      </c>
      <c r="J1120" s="587">
        <f t="shared" si="92"/>
        <v>0</v>
      </c>
      <c r="K1120" s="587"/>
      <c r="L1120" s="587"/>
      <c r="M1120" s="587">
        <f t="shared" si="94"/>
        <v>7</v>
      </c>
      <c r="N1120" s="587">
        <f t="shared" si="94"/>
        <v>0</v>
      </c>
      <c r="O1120" s="587">
        <f t="shared" si="94"/>
        <v>0</v>
      </c>
      <c r="P1120" s="587">
        <f t="shared" si="93"/>
        <v>0</v>
      </c>
    </row>
    <row r="1121" spans="2:16">
      <c r="B1121" s="587" t="s">
        <v>868</v>
      </c>
      <c r="C1121" s="587" t="s">
        <v>869</v>
      </c>
      <c r="D1121" s="587" t="s">
        <v>871</v>
      </c>
      <c r="E1121" s="587"/>
      <c r="F1121" s="587" t="str">
        <f t="shared" si="90"/>
        <v>Marche à pied (exclusivement sur tout le trajet)</v>
      </c>
      <c r="G1121" s="587">
        <f t="shared" si="91"/>
        <v>7</v>
      </c>
      <c r="H1121" s="587"/>
      <c r="I1121" s="587">
        <v>5</v>
      </c>
      <c r="J1121" s="587">
        <f t="shared" si="92"/>
        <v>0</v>
      </c>
      <c r="K1121" s="587"/>
      <c r="L1121" s="587"/>
      <c r="M1121" s="587">
        <f t="shared" si="94"/>
        <v>7</v>
      </c>
      <c r="N1121" s="587">
        <f t="shared" si="94"/>
        <v>0</v>
      </c>
      <c r="O1121" s="587">
        <f t="shared" si="94"/>
        <v>0</v>
      </c>
      <c r="P1121" s="587">
        <f t="shared" si="93"/>
        <v>0</v>
      </c>
    </row>
    <row r="1122" spans="2:16">
      <c r="B1122" s="587" t="s">
        <v>868</v>
      </c>
      <c r="C1122" s="587" t="s">
        <v>882</v>
      </c>
      <c r="D1122" s="587"/>
      <c r="E1122" s="587" t="s">
        <v>879</v>
      </c>
      <c r="F1122" s="587" t="str">
        <f t="shared" si="90"/>
        <v>Voiture (seul(e))</v>
      </c>
      <c r="G1122" s="587">
        <f t="shared" si="91"/>
        <v>3</v>
      </c>
      <c r="H1122" s="587"/>
      <c r="I1122" s="587">
        <v>10</v>
      </c>
      <c r="J1122" s="587">
        <f t="shared" si="92"/>
        <v>2.7600000000000002</v>
      </c>
      <c r="K1122" s="587"/>
      <c r="L1122" s="587"/>
      <c r="M1122" s="587">
        <f t="shared" si="94"/>
        <v>0</v>
      </c>
      <c r="N1122" s="587">
        <f t="shared" si="94"/>
        <v>0</v>
      </c>
      <c r="O1122" s="587">
        <f t="shared" si="94"/>
        <v>3</v>
      </c>
      <c r="P1122" s="587">
        <f t="shared" si="93"/>
        <v>0</v>
      </c>
    </row>
    <row r="1123" spans="2:16">
      <c r="B1123" s="587" t="s">
        <v>868</v>
      </c>
      <c r="C1123" s="587" t="s">
        <v>869</v>
      </c>
      <c r="D1123" s="587" t="s">
        <v>872</v>
      </c>
      <c r="E1123" s="587"/>
      <c r="F1123" s="587" t="str">
        <f t="shared" si="90"/>
        <v>Vélo personnel (y compris vélo à assistance électrique)</v>
      </c>
      <c r="G1123" s="587">
        <f t="shared" si="91"/>
        <v>7</v>
      </c>
      <c r="H1123" s="587"/>
      <c r="I1123" s="587">
        <v>5</v>
      </c>
      <c r="J1123" s="587">
        <f t="shared" si="92"/>
        <v>0</v>
      </c>
      <c r="K1123" s="587"/>
      <c r="L1123" s="587"/>
      <c r="M1123" s="587">
        <f t="shared" si="94"/>
        <v>7</v>
      </c>
      <c r="N1123" s="587">
        <f t="shared" si="94"/>
        <v>0</v>
      </c>
      <c r="O1123" s="587">
        <f t="shared" si="94"/>
        <v>0</v>
      </c>
      <c r="P1123" s="587">
        <f t="shared" si="93"/>
        <v>0</v>
      </c>
    </row>
    <row r="1124" spans="2:16">
      <c r="B1124" s="587" t="s">
        <v>868</v>
      </c>
      <c r="C1124" s="587" t="s">
        <v>882</v>
      </c>
      <c r="D1124" s="587"/>
      <c r="E1124" s="587" t="s">
        <v>848</v>
      </c>
      <c r="F1124" s="587" t="str">
        <f t="shared" si="90"/>
        <v>Bus</v>
      </c>
      <c r="G1124" s="587">
        <f t="shared" si="91"/>
        <v>2</v>
      </c>
      <c r="H1124" s="587"/>
      <c r="I1124" s="587">
        <v>50</v>
      </c>
      <c r="J1124" s="587">
        <f t="shared" si="92"/>
        <v>1.29</v>
      </c>
      <c r="K1124" s="587"/>
      <c r="L1124" s="587"/>
      <c r="M1124" s="587">
        <f t="shared" si="94"/>
        <v>0</v>
      </c>
      <c r="N1124" s="587">
        <f t="shared" si="94"/>
        <v>0</v>
      </c>
      <c r="O1124" s="587">
        <f t="shared" si="94"/>
        <v>2</v>
      </c>
      <c r="P1124" s="587">
        <f t="shared" si="93"/>
        <v>0</v>
      </c>
    </row>
    <row r="1125" spans="2:16">
      <c r="B1125" s="587" t="s">
        <v>868</v>
      </c>
      <c r="C1125" s="587" t="s">
        <v>869</v>
      </c>
      <c r="D1125" s="587"/>
      <c r="E1125" s="587" t="s">
        <v>873</v>
      </c>
      <c r="F1125" s="587" t="str">
        <f t="shared" si="90"/>
        <v>Tramway</v>
      </c>
      <c r="G1125" s="587">
        <f t="shared" si="91"/>
        <v>1</v>
      </c>
      <c r="H1125" s="587"/>
      <c r="I1125" s="587">
        <v>25</v>
      </c>
      <c r="J1125" s="587">
        <f t="shared" si="92"/>
        <v>4.8833333333333326E-2</v>
      </c>
      <c r="K1125" s="587"/>
      <c r="L1125" s="587"/>
      <c r="M1125" s="587">
        <f t="shared" si="94"/>
        <v>1</v>
      </c>
      <c r="N1125" s="587">
        <f t="shared" si="94"/>
        <v>0</v>
      </c>
      <c r="O1125" s="587">
        <f t="shared" si="94"/>
        <v>0</v>
      </c>
      <c r="P1125" s="587">
        <f t="shared" si="93"/>
        <v>0</v>
      </c>
    </row>
    <row r="1126" spans="2:16">
      <c r="B1126" s="587" t="s">
        <v>868</v>
      </c>
      <c r="C1126" s="587" t="s">
        <v>869</v>
      </c>
      <c r="D1126" s="587" t="s">
        <v>871</v>
      </c>
      <c r="E1126" s="587"/>
      <c r="F1126" s="587" t="str">
        <f t="shared" si="90"/>
        <v>Marche à pied (exclusivement sur tout le trajet)</v>
      </c>
      <c r="G1126" s="587">
        <f t="shared" si="91"/>
        <v>7</v>
      </c>
      <c r="H1126" s="587"/>
      <c r="I1126" s="587">
        <v>5</v>
      </c>
      <c r="J1126" s="587">
        <f t="shared" si="92"/>
        <v>0</v>
      </c>
      <c r="K1126" s="587"/>
      <c r="L1126" s="587"/>
      <c r="M1126" s="587">
        <f t="shared" si="94"/>
        <v>7</v>
      </c>
      <c r="N1126" s="587">
        <f t="shared" si="94"/>
        <v>0</v>
      </c>
      <c r="O1126" s="587">
        <f t="shared" si="94"/>
        <v>0</v>
      </c>
      <c r="P1126" s="587">
        <f t="shared" si="93"/>
        <v>0</v>
      </c>
    </row>
    <row r="1127" spans="2:16">
      <c r="B1127" s="587" t="s">
        <v>868</v>
      </c>
      <c r="C1127" s="587" t="s">
        <v>869</v>
      </c>
      <c r="D1127" s="587" t="s">
        <v>871</v>
      </c>
      <c r="E1127" s="587"/>
      <c r="F1127" s="587" t="str">
        <f t="shared" si="90"/>
        <v>Marche à pied (exclusivement sur tout le trajet)</v>
      </c>
      <c r="G1127" s="587">
        <f t="shared" si="91"/>
        <v>7</v>
      </c>
      <c r="H1127" s="587"/>
      <c r="I1127" s="587">
        <v>5</v>
      </c>
      <c r="J1127" s="587">
        <f t="shared" si="92"/>
        <v>0</v>
      </c>
      <c r="K1127" s="587"/>
      <c r="L1127" s="587"/>
      <c r="M1127" s="587">
        <f t="shared" si="94"/>
        <v>7</v>
      </c>
      <c r="N1127" s="587">
        <f t="shared" si="94"/>
        <v>0</v>
      </c>
      <c r="O1127" s="587">
        <f t="shared" si="94"/>
        <v>0</v>
      </c>
      <c r="P1127" s="587">
        <f t="shared" si="93"/>
        <v>0</v>
      </c>
    </row>
    <row r="1128" spans="2:16">
      <c r="B1128" s="587" t="s">
        <v>868</v>
      </c>
      <c r="C1128" s="587" t="s">
        <v>869</v>
      </c>
      <c r="D1128" s="587" t="s">
        <v>871</v>
      </c>
      <c r="E1128" s="587"/>
      <c r="F1128" s="587" t="str">
        <f t="shared" si="90"/>
        <v>Marche à pied (exclusivement sur tout le trajet)</v>
      </c>
      <c r="G1128" s="587">
        <f t="shared" si="91"/>
        <v>7</v>
      </c>
      <c r="H1128" s="587"/>
      <c r="I1128" s="587">
        <v>1</v>
      </c>
      <c r="J1128" s="587">
        <f t="shared" si="92"/>
        <v>0</v>
      </c>
      <c r="K1128" s="587"/>
      <c r="L1128" s="587"/>
      <c r="M1128" s="587">
        <f t="shared" si="94"/>
        <v>7</v>
      </c>
      <c r="N1128" s="587">
        <f t="shared" si="94"/>
        <v>0</v>
      </c>
      <c r="O1128" s="587">
        <f t="shared" si="94"/>
        <v>0</v>
      </c>
      <c r="P1128" s="587">
        <f t="shared" si="93"/>
        <v>0</v>
      </c>
    </row>
    <row r="1129" spans="2:16">
      <c r="B1129" s="587" t="s">
        <v>868</v>
      </c>
      <c r="C1129" s="587" t="s">
        <v>869</v>
      </c>
      <c r="D1129" s="587"/>
      <c r="E1129" s="587" t="s">
        <v>870</v>
      </c>
      <c r="F1129" s="587" t="str">
        <f t="shared" si="90"/>
        <v>Métro</v>
      </c>
      <c r="G1129" s="587">
        <f t="shared" si="91"/>
        <v>1</v>
      </c>
      <c r="H1129" s="587"/>
      <c r="I1129" s="587">
        <v>30</v>
      </c>
      <c r="J1129" s="587">
        <f t="shared" si="92"/>
        <v>4.8833333333333326E-2</v>
      </c>
      <c r="K1129" s="587"/>
      <c r="L1129" s="587"/>
      <c r="M1129" s="587">
        <f t="shared" si="94"/>
        <v>1</v>
      </c>
      <c r="N1129" s="587">
        <f t="shared" si="94"/>
        <v>0</v>
      </c>
      <c r="O1129" s="587">
        <f t="shared" si="94"/>
        <v>0</v>
      </c>
      <c r="P1129" s="587">
        <f t="shared" si="93"/>
        <v>0</v>
      </c>
    </row>
    <row r="1130" spans="2:16">
      <c r="B1130" s="587" t="s">
        <v>868</v>
      </c>
      <c r="C1130" s="587" t="s">
        <v>869</v>
      </c>
      <c r="D1130" s="587"/>
      <c r="E1130" s="587" t="s">
        <v>848</v>
      </c>
      <c r="F1130" s="587" t="str">
        <f t="shared" si="90"/>
        <v>Bus</v>
      </c>
      <c r="G1130" s="587">
        <f t="shared" si="91"/>
        <v>2</v>
      </c>
      <c r="H1130" s="587"/>
      <c r="I1130" s="587">
        <v>30</v>
      </c>
      <c r="J1130" s="587">
        <f t="shared" si="92"/>
        <v>1.29</v>
      </c>
      <c r="K1130" s="587"/>
      <c r="L1130" s="587"/>
      <c r="M1130" s="587">
        <f t="shared" si="94"/>
        <v>2</v>
      </c>
      <c r="N1130" s="587">
        <f t="shared" si="94"/>
        <v>0</v>
      </c>
      <c r="O1130" s="587">
        <f t="shared" si="94"/>
        <v>0</v>
      </c>
      <c r="P1130" s="587">
        <f t="shared" si="93"/>
        <v>0</v>
      </c>
    </row>
    <row r="1131" spans="2:16">
      <c r="B1131" s="587" t="s">
        <v>868</v>
      </c>
      <c r="C1131" s="587" t="s">
        <v>882</v>
      </c>
      <c r="D1131" s="587" t="s">
        <v>879</v>
      </c>
      <c r="E1131" s="587"/>
      <c r="F1131" s="587" t="str">
        <f t="shared" si="90"/>
        <v>Voiture (seul(e))</v>
      </c>
      <c r="G1131" s="587">
        <f t="shared" si="91"/>
        <v>3</v>
      </c>
      <c r="H1131" s="587"/>
      <c r="I1131" s="587">
        <v>45</v>
      </c>
      <c r="J1131" s="587">
        <f t="shared" si="92"/>
        <v>2.7600000000000002</v>
      </c>
      <c r="K1131" s="587"/>
      <c r="L1131" s="587"/>
      <c r="M1131" s="587">
        <f t="shared" si="94"/>
        <v>0</v>
      </c>
      <c r="N1131" s="587">
        <f t="shared" si="94"/>
        <v>0</v>
      </c>
      <c r="O1131" s="587">
        <f t="shared" si="94"/>
        <v>3</v>
      </c>
      <c r="P1131" s="587">
        <f t="shared" si="93"/>
        <v>0</v>
      </c>
    </row>
    <row r="1132" spans="2:16">
      <c r="B1132" s="587" t="s">
        <v>868</v>
      </c>
      <c r="C1132" s="587" t="s">
        <v>882</v>
      </c>
      <c r="D1132" s="587"/>
      <c r="E1132" s="587" t="s">
        <v>872</v>
      </c>
      <c r="F1132" s="587" t="str">
        <f t="shared" si="90"/>
        <v>Vélo personnel (y compris vélo à assistance électrique)</v>
      </c>
      <c r="G1132" s="587">
        <f t="shared" si="91"/>
        <v>7</v>
      </c>
      <c r="H1132" s="587"/>
      <c r="I1132" s="587">
        <v>75</v>
      </c>
      <c r="J1132" s="587">
        <f t="shared" si="92"/>
        <v>0</v>
      </c>
      <c r="K1132" s="587"/>
      <c r="L1132" s="587"/>
      <c r="M1132" s="587">
        <f t="shared" si="94"/>
        <v>0</v>
      </c>
      <c r="N1132" s="587">
        <f t="shared" si="94"/>
        <v>0</v>
      </c>
      <c r="O1132" s="587">
        <f t="shared" si="94"/>
        <v>7</v>
      </c>
      <c r="P1132" s="587">
        <f t="shared" si="93"/>
        <v>0</v>
      </c>
    </row>
    <row r="1133" spans="2:16">
      <c r="B1133" s="587" t="s">
        <v>868</v>
      </c>
      <c r="C1133" s="587" t="s">
        <v>869</v>
      </c>
      <c r="D1133" s="587" t="s">
        <v>871</v>
      </c>
      <c r="E1133" s="587"/>
      <c r="F1133" s="587" t="str">
        <f t="shared" si="90"/>
        <v>Marche à pied (exclusivement sur tout le trajet)</v>
      </c>
      <c r="G1133" s="587">
        <f t="shared" si="91"/>
        <v>7</v>
      </c>
      <c r="H1133" s="587"/>
      <c r="I1133" s="587">
        <v>3</v>
      </c>
      <c r="J1133" s="587">
        <f t="shared" si="92"/>
        <v>0</v>
      </c>
      <c r="K1133" s="587"/>
      <c r="L1133" s="587"/>
      <c r="M1133" s="587">
        <f t="shared" si="94"/>
        <v>7</v>
      </c>
      <c r="N1133" s="587">
        <f t="shared" si="94"/>
        <v>0</v>
      </c>
      <c r="O1133" s="587">
        <f t="shared" si="94"/>
        <v>0</v>
      </c>
      <c r="P1133" s="587">
        <f t="shared" si="93"/>
        <v>0</v>
      </c>
    </row>
    <row r="1134" spans="2:16">
      <c r="B1134" s="587" t="s">
        <v>868</v>
      </c>
      <c r="C1134" s="587" t="s">
        <v>869</v>
      </c>
      <c r="D1134" s="587" t="s">
        <v>871</v>
      </c>
      <c r="E1134" s="587"/>
      <c r="F1134" s="587" t="str">
        <f t="shared" si="90"/>
        <v>Marche à pied (exclusivement sur tout le trajet)</v>
      </c>
      <c r="G1134" s="587">
        <f t="shared" si="91"/>
        <v>7</v>
      </c>
      <c r="H1134" s="587"/>
      <c r="I1134" s="587">
        <v>10</v>
      </c>
      <c r="J1134" s="587">
        <f t="shared" si="92"/>
        <v>0</v>
      </c>
      <c r="K1134" s="587"/>
      <c r="L1134" s="587"/>
      <c r="M1134" s="587">
        <f t="shared" si="94"/>
        <v>7</v>
      </c>
      <c r="N1134" s="587">
        <f t="shared" si="94"/>
        <v>0</v>
      </c>
      <c r="O1134" s="587">
        <f t="shared" si="94"/>
        <v>0</v>
      </c>
      <c r="P1134" s="587">
        <f t="shared" si="93"/>
        <v>0</v>
      </c>
    </row>
    <row r="1135" spans="2:16">
      <c r="B1135" s="587" t="s">
        <v>868</v>
      </c>
      <c r="C1135" s="587" t="s">
        <v>869</v>
      </c>
      <c r="D1135" s="587" t="s">
        <v>871</v>
      </c>
      <c r="E1135" s="587"/>
      <c r="F1135" s="587" t="str">
        <f t="shared" si="90"/>
        <v>Marche à pied (exclusivement sur tout le trajet)</v>
      </c>
      <c r="G1135" s="587">
        <f t="shared" si="91"/>
        <v>7</v>
      </c>
      <c r="H1135" s="587"/>
      <c r="I1135" s="587">
        <v>7</v>
      </c>
      <c r="J1135" s="587">
        <f t="shared" si="92"/>
        <v>0</v>
      </c>
      <c r="K1135" s="587"/>
      <c r="L1135" s="587"/>
      <c r="M1135" s="587">
        <f t="shared" si="94"/>
        <v>7</v>
      </c>
      <c r="N1135" s="587">
        <f t="shared" si="94"/>
        <v>0</v>
      </c>
      <c r="O1135" s="587">
        <f t="shared" si="94"/>
        <v>0</v>
      </c>
      <c r="P1135" s="587">
        <f t="shared" si="93"/>
        <v>0</v>
      </c>
    </row>
    <row r="1136" spans="2:16">
      <c r="B1136" s="587" t="s">
        <v>868</v>
      </c>
      <c r="C1136" s="587" t="s">
        <v>875</v>
      </c>
      <c r="D1136" s="587" t="s">
        <v>872</v>
      </c>
      <c r="E1136" s="587"/>
      <c r="F1136" s="587" t="str">
        <f t="shared" si="90"/>
        <v>Vélo personnel (y compris vélo à assistance électrique)</v>
      </c>
      <c r="G1136" s="587">
        <f t="shared" si="91"/>
        <v>7</v>
      </c>
      <c r="H1136" s="587"/>
      <c r="I1136" s="587">
        <v>25</v>
      </c>
      <c r="J1136" s="587">
        <f t="shared" si="92"/>
        <v>0</v>
      </c>
      <c r="K1136" s="587"/>
      <c r="L1136" s="587"/>
      <c r="M1136" s="587">
        <f t="shared" si="94"/>
        <v>0</v>
      </c>
      <c r="N1136" s="587">
        <f t="shared" si="94"/>
        <v>7</v>
      </c>
      <c r="O1136" s="587">
        <f t="shared" si="94"/>
        <v>0</v>
      </c>
      <c r="P1136" s="587">
        <f t="shared" si="93"/>
        <v>0</v>
      </c>
    </row>
    <row r="1137" spans="2:16">
      <c r="B1137" s="587" t="s">
        <v>868</v>
      </c>
      <c r="C1137" s="587" t="s">
        <v>869</v>
      </c>
      <c r="D1137" s="587" t="s">
        <v>871</v>
      </c>
      <c r="E1137" s="587"/>
      <c r="F1137" s="587" t="str">
        <f t="shared" si="90"/>
        <v>Marche à pied (exclusivement sur tout le trajet)</v>
      </c>
      <c r="G1137" s="587">
        <f t="shared" si="91"/>
        <v>7</v>
      </c>
      <c r="H1137" s="587"/>
      <c r="I1137" s="587">
        <v>1</v>
      </c>
      <c r="J1137" s="587">
        <f t="shared" si="92"/>
        <v>0</v>
      </c>
      <c r="K1137" s="587"/>
      <c r="L1137" s="587"/>
      <c r="M1137" s="587">
        <f t="shared" si="94"/>
        <v>7</v>
      </c>
      <c r="N1137" s="587">
        <f t="shared" si="94"/>
        <v>0</v>
      </c>
      <c r="O1137" s="587">
        <f t="shared" si="94"/>
        <v>0</v>
      </c>
      <c r="P1137" s="587">
        <f t="shared" si="93"/>
        <v>0</v>
      </c>
    </row>
    <row r="1138" spans="2:16">
      <c r="B1138" s="587" t="s">
        <v>868</v>
      </c>
      <c r="C1138" s="587" t="s">
        <v>35</v>
      </c>
      <c r="D1138" s="587"/>
      <c r="E1138" s="587" t="s">
        <v>870</v>
      </c>
      <c r="F1138" s="587" t="str">
        <f t="shared" si="90"/>
        <v>Métro</v>
      </c>
      <c r="G1138" s="587">
        <f t="shared" si="91"/>
        <v>1</v>
      </c>
      <c r="H1138" s="587"/>
      <c r="I1138" s="587">
        <v>25</v>
      </c>
      <c r="J1138" s="587">
        <f t="shared" si="92"/>
        <v>4.8833333333333326E-2</v>
      </c>
      <c r="K1138" s="587"/>
      <c r="L1138" s="587"/>
      <c r="M1138" s="587">
        <f t="shared" si="94"/>
        <v>0</v>
      </c>
      <c r="N1138" s="587">
        <f t="shared" si="94"/>
        <v>0</v>
      </c>
      <c r="O1138" s="587">
        <f t="shared" si="94"/>
        <v>0</v>
      </c>
      <c r="P1138" s="587">
        <f t="shared" si="93"/>
        <v>1</v>
      </c>
    </row>
    <row r="1139" spans="2:16">
      <c r="B1139" s="587" t="s">
        <v>868</v>
      </c>
      <c r="C1139" s="587" t="s">
        <v>869</v>
      </c>
      <c r="D1139" s="587" t="s">
        <v>872</v>
      </c>
      <c r="E1139" s="587"/>
      <c r="F1139" s="587" t="str">
        <f t="shared" si="90"/>
        <v>Vélo personnel (y compris vélo à assistance électrique)</v>
      </c>
      <c r="G1139" s="587">
        <f t="shared" si="91"/>
        <v>7</v>
      </c>
      <c r="H1139" s="587"/>
      <c r="I1139" s="587">
        <v>10</v>
      </c>
      <c r="J1139" s="587">
        <f t="shared" si="92"/>
        <v>0</v>
      </c>
      <c r="K1139" s="587"/>
      <c r="L1139" s="587"/>
      <c r="M1139" s="587">
        <f t="shared" si="94"/>
        <v>7</v>
      </c>
      <c r="N1139" s="587">
        <f t="shared" si="94"/>
        <v>0</v>
      </c>
      <c r="O1139" s="587">
        <f t="shared" si="94"/>
        <v>0</v>
      </c>
      <c r="P1139" s="587">
        <f t="shared" si="93"/>
        <v>0</v>
      </c>
    </row>
    <row r="1140" spans="2:16">
      <c r="B1140" s="587" t="s">
        <v>868</v>
      </c>
      <c r="C1140" s="587" t="s">
        <v>869</v>
      </c>
      <c r="D1140" s="587" t="s">
        <v>873</v>
      </c>
      <c r="E1140" s="587"/>
      <c r="F1140" s="587" t="str">
        <f t="shared" si="90"/>
        <v>Tramway</v>
      </c>
      <c r="G1140" s="587">
        <f t="shared" si="91"/>
        <v>1</v>
      </c>
      <c r="H1140" s="587"/>
      <c r="I1140" s="587">
        <v>25</v>
      </c>
      <c r="J1140" s="587">
        <f t="shared" si="92"/>
        <v>4.8833333333333326E-2</v>
      </c>
      <c r="K1140" s="587"/>
      <c r="L1140" s="587"/>
      <c r="M1140" s="587">
        <f t="shared" si="94"/>
        <v>1</v>
      </c>
      <c r="N1140" s="587">
        <f t="shared" si="94"/>
        <v>0</v>
      </c>
      <c r="O1140" s="587">
        <f t="shared" si="94"/>
        <v>0</v>
      </c>
      <c r="P1140" s="587">
        <f t="shared" si="93"/>
        <v>0</v>
      </c>
    </row>
    <row r="1141" spans="2:16">
      <c r="B1141" s="587" t="s">
        <v>868</v>
      </c>
      <c r="C1141" s="587" t="s">
        <v>869</v>
      </c>
      <c r="D1141" s="587" t="s">
        <v>848</v>
      </c>
      <c r="E1141" s="587"/>
      <c r="F1141" s="587" t="str">
        <f t="shared" si="90"/>
        <v>Bus</v>
      </c>
      <c r="G1141" s="587">
        <f t="shared" si="91"/>
        <v>2</v>
      </c>
      <c r="H1141" s="587"/>
      <c r="I1141" s="587">
        <v>10</v>
      </c>
      <c r="J1141" s="587">
        <f t="shared" si="92"/>
        <v>1.29</v>
      </c>
      <c r="K1141" s="587"/>
      <c r="L1141" s="587"/>
      <c r="M1141" s="587">
        <f t="shared" si="94"/>
        <v>2</v>
      </c>
      <c r="N1141" s="587">
        <f t="shared" si="94"/>
        <v>0</v>
      </c>
      <c r="O1141" s="587">
        <f t="shared" si="94"/>
        <v>0</v>
      </c>
      <c r="P1141" s="587">
        <f t="shared" si="93"/>
        <v>0</v>
      </c>
    </row>
    <row r="1142" spans="2:16">
      <c r="B1142" s="587" t="s">
        <v>868</v>
      </c>
      <c r="C1142" s="587" t="s">
        <v>869</v>
      </c>
      <c r="D1142" s="587" t="s">
        <v>872</v>
      </c>
      <c r="E1142" s="587"/>
      <c r="F1142" s="587" t="str">
        <f t="shared" si="90"/>
        <v>Vélo personnel (y compris vélo à assistance électrique)</v>
      </c>
      <c r="G1142" s="587">
        <f t="shared" si="91"/>
        <v>7</v>
      </c>
      <c r="H1142" s="587"/>
      <c r="I1142" s="587">
        <v>15</v>
      </c>
      <c r="J1142" s="587">
        <f t="shared" si="92"/>
        <v>0</v>
      </c>
      <c r="K1142" s="587"/>
      <c r="L1142" s="587"/>
      <c r="M1142" s="587">
        <f t="shared" si="94"/>
        <v>7</v>
      </c>
      <c r="N1142" s="587">
        <f t="shared" si="94"/>
        <v>0</v>
      </c>
      <c r="O1142" s="587">
        <f t="shared" si="94"/>
        <v>0</v>
      </c>
      <c r="P1142" s="587">
        <f t="shared" si="93"/>
        <v>0</v>
      </c>
    </row>
    <row r="1143" spans="2:16">
      <c r="B1143" s="587" t="s">
        <v>868</v>
      </c>
      <c r="C1143" s="587" t="s">
        <v>869</v>
      </c>
      <c r="D1143" s="587" t="s">
        <v>872</v>
      </c>
      <c r="E1143" s="587"/>
      <c r="F1143" s="587" t="str">
        <f t="shared" si="90"/>
        <v>Vélo personnel (y compris vélo à assistance électrique)</v>
      </c>
      <c r="G1143" s="587">
        <f t="shared" si="91"/>
        <v>7</v>
      </c>
      <c r="H1143" s="587"/>
      <c r="I1143" s="587">
        <v>7</v>
      </c>
      <c r="J1143" s="587">
        <f t="shared" si="92"/>
        <v>0</v>
      </c>
      <c r="K1143" s="587"/>
      <c r="L1143" s="587"/>
      <c r="M1143" s="587">
        <f t="shared" si="94"/>
        <v>7</v>
      </c>
      <c r="N1143" s="587">
        <f t="shared" si="94"/>
        <v>0</v>
      </c>
      <c r="O1143" s="587">
        <f t="shared" si="94"/>
        <v>0</v>
      </c>
      <c r="P1143" s="587">
        <f t="shared" si="93"/>
        <v>0</v>
      </c>
    </row>
    <row r="1144" spans="2:16">
      <c r="B1144" s="587" t="s">
        <v>868</v>
      </c>
      <c r="C1144" s="587" t="s">
        <v>35</v>
      </c>
      <c r="D1144" s="587" t="s">
        <v>873</v>
      </c>
      <c r="E1144" s="587"/>
      <c r="F1144" s="587" t="str">
        <f t="shared" si="90"/>
        <v>Tramway</v>
      </c>
      <c r="G1144" s="587">
        <f t="shared" si="91"/>
        <v>1</v>
      </c>
      <c r="H1144" s="587"/>
      <c r="I1144" s="587">
        <v>20</v>
      </c>
      <c r="J1144" s="587">
        <f t="shared" si="92"/>
        <v>4.8833333333333326E-2</v>
      </c>
      <c r="K1144" s="587"/>
      <c r="L1144" s="587"/>
      <c r="M1144" s="587">
        <f t="shared" si="94"/>
        <v>0</v>
      </c>
      <c r="N1144" s="587">
        <f t="shared" si="94"/>
        <v>0</v>
      </c>
      <c r="O1144" s="587">
        <f t="shared" si="94"/>
        <v>0</v>
      </c>
      <c r="P1144" s="587">
        <f t="shared" si="93"/>
        <v>1</v>
      </c>
    </row>
    <row r="1145" spans="2:16">
      <c r="B1145" s="587" t="s">
        <v>868</v>
      </c>
      <c r="C1145" s="587" t="s">
        <v>869</v>
      </c>
      <c r="D1145" s="587" t="s">
        <v>872</v>
      </c>
      <c r="E1145" s="587"/>
      <c r="F1145" s="587" t="str">
        <f t="shared" si="90"/>
        <v>Vélo personnel (y compris vélo à assistance électrique)</v>
      </c>
      <c r="G1145" s="587">
        <f t="shared" si="91"/>
        <v>7</v>
      </c>
      <c r="H1145" s="587"/>
      <c r="I1145" s="587">
        <v>20</v>
      </c>
      <c r="J1145" s="587">
        <f t="shared" si="92"/>
        <v>0</v>
      </c>
      <c r="K1145" s="587"/>
      <c r="L1145" s="587"/>
      <c r="M1145" s="587">
        <f t="shared" si="94"/>
        <v>7</v>
      </c>
      <c r="N1145" s="587">
        <f t="shared" si="94"/>
        <v>0</v>
      </c>
      <c r="O1145" s="587">
        <f t="shared" si="94"/>
        <v>0</v>
      </c>
      <c r="P1145" s="587">
        <f t="shared" si="93"/>
        <v>0</v>
      </c>
    </row>
    <row r="1146" spans="2:16">
      <c r="B1146" s="587" t="s">
        <v>868</v>
      </c>
      <c r="C1146" s="587" t="s">
        <v>35</v>
      </c>
      <c r="D1146" s="587"/>
      <c r="E1146" s="587" t="s">
        <v>873</v>
      </c>
      <c r="F1146" s="587" t="str">
        <f t="shared" si="90"/>
        <v>Tramway</v>
      </c>
      <c r="G1146" s="587">
        <f t="shared" si="91"/>
        <v>1</v>
      </c>
      <c r="H1146" s="587"/>
      <c r="I1146" s="587">
        <v>30</v>
      </c>
      <c r="J1146" s="587">
        <f t="shared" si="92"/>
        <v>4.8833333333333326E-2</v>
      </c>
      <c r="K1146" s="587"/>
      <c r="L1146" s="587"/>
      <c r="M1146" s="587">
        <f t="shared" si="94"/>
        <v>0</v>
      </c>
      <c r="N1146" s="587">
        <f t="shared" si="94"/>
        <v>0</v>
      </c>
      <c r="O1146" s="587">
        <f t="shared" si="94"/>
        <v>0</v>
      </c>
      <c r="P1146" s="587">
        <f t="shared" si="93"/>
        <v>1</v>
      </c>
    </row>
    <row r="1147" spans="2:16">
      <c r="B1147" s="587" t="s">
        <v>868</v>
      </c>
      <c r="C1147" s="587" t="s">
        <v>869</v>
      </c>
      <c r="D1147" s="587" t="s">
        <v>872</v>
      </c>
      <c r="E1147" s="587"/>
      <c r="F1147" s="587" t="str">
        <f t="shared" si="90"/>
        <v>Vélo personnel (y compris vélo à assistance électrique)</v>
      </c>
      <c r="G1147" s="587">
        <f t="shared" si="91"/>
        <v>7</v>
      </c>
      <c r="H1147" s="587"/>
      <c r="I1147" s="587">
        <v>10</v>
      </c>
      <c r="J1147" s="587">
        <f t="shared" si="92"/>
        <v>0</v>
      </c>
      <c r="K1147" s="587"/>
      <c r="L1147" s="587"/>
      <c r="M1147" s="587">
        <f t="shared" si="94"/>
        <v>7</v>
      </c>
      <c r="N1147" s="587">
        <f t="shared" si="94"/>
        <v>0</v>
      </c>
      <c r="O1147" s="587">
        <f t="shared" si="94"/>
        <v>0</v>
      </c>
      <c r="P1147" s="587">
        <f t="shared" si="93"/>
        <v>0</v>
      </c>
    </row>
    <row r="1148" spans="2:16">
      <c r="B1148" s="587" t="s">
        <v>868</v>
      </c>
      <c r="C1148" s="587" t="s">
        <v>875</v>
      </c>
      <c r="D1148" s="587" t="s">
        <v>872</v>
      </c>
      <c r="E1148" s="587"/>
      <c r="F1148" s="587" t="str">
        <f t="shared" ref="F1148:F1211" si="95">IF(D1148="",E1148,D1148)</f>
        <v>Vélo personnel (y compris vélo à assistance électrique)</v>
      </c>
      <c r="G1148" s="587">
        <f t="shared" ref="G1148:G1211" si="96">IF(F1148="Métro",1,IF(F1148="Tramway",1,IF(F1148="Vélo'v",7,IF(F1148="Marche à pied (exclusivement sur tout le trajet)",7,IF(F1148="Vélo personnel (y compris vélo à assistance électrique)",7,IF(F1148="Trottinette, roller, skateboard,…",7,IF(F1148="Marche à pied au-delà de 5 minutes",7,IF(F1148="Voiture (seul(e))",3,IF(F1148="Bus",2,IF(F1148="Trottinette, roller, skateboard au-delà de 5 minutes",7,IF(F1148="Covoiturage (passager(ère))",4,IF(F1148="Trottinette, roller, skateboard,...",7,IF(F1148="Vélo’v",7,IF(F1148="Train (TER,TGV,...)",6,IF(F1148="Deux roues motorisées (moto, scooter, mobylette,…)",5,IF(F1148="Covoiturage (conducteur(trice))",4,IF(F1148="Train (TER,..)",6,0)))))))))))))))))</f>
        <v>7</v>
      </c>
      <c r="H1148" s="587"/>
      <c r="I1148" s="587">
        <v>25</v>
      </c>
      <c r="J1148" s="587">
        <f t="shared" ref="J1148:J1211" si="97">IF(G1148=1,$C$6*($I$28*$K$6)/$J$6,IF(G1148=2,$C$7*($I$28*$K$7)/$J$7,IF(G1148=3,$C$8*$I$28*$K$8/$J$8,IF(G1148=4,$C$9*$I$28*$K$9/$J$9,IF(G1148=5,$C$10*$I$28*$K$10/$J$10,IF(G1148=6,$C$11*$K$11*$I$28/$J$11,0))))))</f>
        <v>0</v>
      </c>
      <c r="K1148" s="587"/>
      <c r="L1148" s="587"/>
      <c r="M1148" s="587">
        <f t="shared" si="94"/>
        <v>0</v>
      </c>
      <c r="N1148" s="587">
        <f t="shared" si="94"/>
        <v>7</v>
      </c>
      <c r="O1148" s="587">
        <f t="shared" si="94"/>
        <v>0</v>
      </c>
      <c r="P1148" s="587">
        <f t="shared" si="93"/>
        <v>0</v>
      </c>
    </row>
    <row r="1149" spans="2:16">
      <c r="B1149" s="587" t="s">
        <v>868</v>
      </c>
      <c r="C1149" s="587" t="s">
        <v>869</v>
      </c>
      <c r="D1149" s="587" t="s">
        <v>871</v>
      </c>
      <c r="E1149" s="587"/>
      <c r="F1149" s="587" t="str">
        <f t="shared" si="95"/>
        <v>Marche à pied (exclusivement sur tout le trajet)</v>
      </c>
      <c r="G1149" s="587">
        <f t="shared" si="96"/>
        <v>7</v>
      </c>
      <c r="H1149" s="587"/>
      <c r="I1149" s="587">
        <v>9</v>
      </c>
      <c r="J1149" s="587">
        <f t="shared" si="97"/>
        <v>0</v>
      </c>
      <c r="K1149" s="587"/>
      <c r="L1149" s="587"/>
      <c r="M1149" s="587">
        <f t="shared" si="94"/>
        <v>7</v>
      </c>
      <c r="N1149" s="587">
        <f t="shared" si="94"/>
        <v>0</v>
      </c>
      <c r="O1149" s="587">
        <f t="shared" si="94"/>
        <v>0</v>
      </c>
      <c r="P1149" s="587">
        <f t="shared" si="93"/>
        <v>0</v>
      </c>
    </row>
    <row r="1150" spans="2:16">
      <c r="B1150" s="587" t="s">
        <v>868</v>
      </c>
      <c r="C1150" s="587" t="s">
        <v>869</v>
      </c>
      <c r="D1150" s="587" t="s">
        <v>871</v>
      </c>
      <c r="E1150" s="587"/>
      <c r="F1150" s="587" t="str">
        <f t="shared" si="95"/>
        <v>Marche à pied (exclusivement sur tout le trajet)</v>
      </c>
      <c r="G1150" s="587">
        <f t="shared" si="96"/>
        <v>7</v>
      </c>
      <c r="H1150" s="587"/>
      <c r="I1150" s="587">
        <v>10</v>
      </c>
      <c r="J1150" s="587">
        <f t="shared" si="97"/>
        <v>0</v>
      </c>
      <c r="K1150" s="587"/>
      <c r="L1150" s="587"/>
      <c r="M1150" s="587">
        <f t="shared" si="94"/>
        <v>7</v>
      </c>
      <c r="N1150" s="587">
        <f t="shared" si="94"/>
        <v>0</v>
      </c>
      <c r="O1150" s="587">
        <f t="shared" si="94"/>
        <v>0</v>
      </c>
      <c r="P1150" s="587">
        <f t="shared" si="93"/>
        <v>0</v>
      </c>
    </row>
    <row r="1151" spans="2:16">
      <c r="B1151" s="587" t="s">
        <v>868</v>
      </c>
      <c r="C1151" s="587" t="s">
        <v>869</v>
      </c>
      <c r="D1151" s="587" t="s">
        <v>871</v>
      </c>
      <c r="E1151" s="587"/>
      <c r="F1151" s="587" t="str">
        <f t="shared" si="95"/>
        <v>Marche à pied (exclusivement sur tout le trajet)</v>
      </c>
      <c r="G1151" s="587">
        <f t="shared" si="96"/>
        <v>7</v>
      </c>
      <c r="H1151" s="587"/>
      <c r="I1151" s="587">
        <v>10</v>
      </c>
      <c r="J1151" s="587">
        <f t="shared" si="97"/>
        <v>0</v>
      </c>
      <c r="K1151" s="587"/>
      <c r="L1151" s="587"/>
      <c r="M1151" s="587">
        <f t="shared" si="94"/>
        <v>7</v>
      </c>
      <c r="N1151" s="587">
        <f t="shared" si="94"/>
        <v>0</v>
      </c>
      <c r="O1151" s="587">
        <f t="shared" si="94"/>
        <v>0</v>
      </c>
      <c r="P1151" s="587">
        <f t="shared" si="93"/>
        <v>0</v>
      </c>
    </row>
    <row r="1152" spans="2:16">
      <c r="B1152" s="587" t="s">
        <v>868</v>
      </c>
      <c r="C1152" s="587" t="s">
        <v>869</v>
      </c>
      <c r="D1152" s="587" t="s">
        <v>871</v>
      </c>
      <c r="E1152" s="587"/>
      <c r="F1152" s="587" t="str">
        <f t="shared" si="95"/>
        <v>Marche à pied (exclusivement sur tout le trajet)</v>
      </c>
      <c r="G1152" s="587">
        <f t="shared" si="96"/>
        <v>7</v>
      </c>
      <c r="H1152" s="587"/>
      <c r="I1152" s="587">
        <v>1</v>
      </c>
      <c r="J1152" s="587">
        <f t="shared" si="97"/>
        <v>0</v>
      </c>
      <c r="K1152" s="587"/>
      <c r="L1152" s="587"/>
      <c r="M1152" s="587">
        <f t="shared" si="94"/>
        <v>7</v>
      </c>
      <c r="N1152" s="587">
        <f t="shared" si="94"/>
        <v>0</v>
      </c>
      <c r="O1152" s="587">
        <f t="shared" si="94"/>
        <v>0</v>
      </c>
      <c r="P1152" s="587">
        <f t="shared" si="93"/>
        <v>0</v>
      </c>
    </row>
    <row r="1153" spans="2:16">
      <c r="B1153" s="587" t="s">
        <v>868</v>
      </c>
      <c r="C1153" s="587" t="s">
        <v>869</v>
      </c>
      <c r="D1153" s="587" t="s">
        <v>872</v>
      </c>
      <c r="E1153" s="587"/>
      <c r="F1153" s="587" t="str">
        <f t="shared" si="95"/>
        <v>Vélo personnel (y compris vélo à assistance électrique)</v>
      </c>
      <c r="G1153" s="587">
        <f t="shared" si="96"/>
        <v>7</v>
      </c>
      <c r="H1153" s="587"/>
      <c r="I1153" s="587">
        <v>20</v>
      </c>
      <c r="J1153" s="587">
        <f t="shared" si="97"/>
        <v>0</v>
      </c>
      <c r="K1153" s="587"/>
      <c r="L1153" s="587"/>
      <c r="M1153" s="587">
        <f t="shared" si="94"/>
        <v>7</v>
      </c>
      <c r="N1153" s="587">
        <f t="shared" si="94"/>
        <v>0</v>
      </c>
      <c r="O1153" s="587">
        <f t="shared" si="94"/>
        <v>0</v>
      </c>
      <c r="P1153" s="587">
        <f t="shared" si="93"/>
        <v>0</v>
      </c>
    </row>
    <row r="1154" spans="2:16">
      <c r="B1154" s="587" t="s">
        <v>868</v>
      </c>
      <c r="C1154" s="587" t="s">
        <v>882</v>
      </c>
      <c r="D1154" s="587" t="s">
        <v>872</v>
      </c>
      <c r="E1154" s="587"/>
      <c r="F1154" s="587" t="str">
        <f t="shared" si="95"/>
        <v>Vélo personnel (y compris vélo à assistance électrique)</v>
      </c>
      <c r="G1154" s="587">
        <f t="shared" si="96"/>
        <v>7</v>
      </c>
      <c r="H1154" s="587"/>
      <c r="I1154" s="587">
        <v>75</v>
      </c>
      <c r="J1154" s="587">
        <f t="shared" si="97"/>
        <v>0</v>
      </c>
      <c r="K1154" s="587"/>
      <c r="L1154" s="587"/>
      <c r="M1154" s="587">
        <f t="shared" si="94"/>
        <v>0</v>
      </c>
      <c r="N1154" s="587">
        <f t="shared" si="94"/>
        <v>0</v>
      </c>
      <c r="O1154" s="587">
        <f t="shared" si="94"/>
        <v>7</v>
      </c>
      <c r="P1154" s="587">
        <f t="shared" si="93"/>
        <v>0</v>
      </c>
    </row>
    <row r="1155" spans="2:16">
      <c r="B1155" s="587" t="s">
        <v>868</v>
      </c>
      <c r="C1155" s="587" t="s">
        <v>869</v>
      </c>
      <c r="D1155" s="587"/>
      <c r="E1155" s="587" t="s">
        <v>877</v>
      </c>
      <c r="F1155" s="587" t="str">
        <f t="shared" si="95"/>
        <v>Vélo’v</v>
      </c>
      <c r="G1155" s="587">
        <f t="shared" si="96"/>
        <v>7</v>
      </c>
      <c r="H1155" s="587"/>
      <c r="I1155" s="587">
        <v>30</v>
      </c>
      <c r="J1155" s="587">
        <f t="shared" si="97"/>
        <v>0</v>
      </c>
      <c r="K1155" s="587"/>
      <c r="L1155" s="587"/>
      <c r="M1155" s="587">
        <f t="shared" si="94"/>
        <v>7</v>
      </c>
      <c r="N1155" s="587">
        <f t="shared" si="94"/>
        <v>0</v>
      </c>
      <c r="O1155" s="587">
        <f t="shared" si="94"/>
        <v>0</v>
      </c>
      <c r="P1155" s="587">
        <f t="shared" si="93"/>
        <v>0</v>
      </c>
    </row>
    <row r="1156" spans="2:16">
      <c r="B1156" s="587" t="s">
        <v>868</v>
      </c>
      <c r="C1156" s="587" t="s">
        <v>869</v>
      </c>
      <c r="D1156" s="587" t="s">
        <v>872</v>
      </c>
      <c r="E1156" s="587"/>
      <c r="F1156" s="587" t="str">
        <f t="shared" si="95"/>
        <v>Vélo personnel (y compris vélo à assistance électrique)</v>
      </c>
      <c r="G1156" s="587">
        <f t="shared" si="96"/>
        <v>7</v>
      </c>
      <c r="H1156" s="587"/>
      <c r="I1156" s="587">
        <v>15</v>
      </c>
      <c r="J1156" s="587">
        <f t="shared" si="97"/>
        <v>0</v>
      </c>
      <c r="K1156" s="587"/>
      <c r="L1156" s="587"/>
      <c r="M1156" s="587">
        <f t="shared" si="94"/>
        <v>7</v>
      </c>
      <c r="N1156" s="587">
        <f t="shared" si="94"/>
        <v>0</v>
      </c>
      <c r="O1156" s="587">
        <f t="shared" si="94"/>
        <v>0</v>
      </c>
      <c r="P1156" s="587">
        <f t="shared" si="93"/>
        <v>0</v>
      </c>
    </row>
    <row r="1157" spans="2:16">
      <c r="B1157" s="587" t="s">
        <v>868</v>
      </c>
      <c r="C1157" s="587" t="s">
        <v>869</v>
      </c>
      <c r="D1157" s="587"/>
      <c r="E1157" s="587" t="s">
        <v>878</v>
      </c>
      <c r="F1157" s="587" t="str">
        <f t="shared" si="95"/>
        <v>Marche à pied au-delà de 5 minutes</v>
      </c>
      <c r="G1157" s="587">
        <f t="shared" si="96"/>
        <v>7</v>
      </c>
      <c r="H1157" s="587"/>
      <c r="I1157" s="587">
        <v>75</v>
      </c>
      <c r="J1157" s="587">
        <f t="shared" si="97"/>
        <v>0</v>
      </c>
      <c r="K1157" s="587"/>
      <c r="L1157" s="587"/>
      <c r="M1157" s="587">
        <f t="shared" si="94"/>
        <v>7</v>
      </c>
      <c r="N1157" s="587">
        <f t="shared" si="94"/>
        <v>0</v>
      </c>
      <c r="O1157" s="587">
        <f t="shared" si="94"/>
        <v>0</v>
      </c>
      <c r="P1157" s="587">
        <f t="shared" si="93"/>
        <v>0</v>
      </c>
    </row>
    <row r="1158" spans="2:16">
      <c r="B1158" s="587" t="s">
        <v>868</v>
      </c>
      <c r="C1158" s="587" t="s">
        <v>869</v>
      </c>
      <c r="D1158" s="587"/>
      <c r="E1158" s="587" t="s">
        <v>878</v>
      </c>
      <c r="F1158" s="587" t="str">
        <f t="shared" si="95"/>
        <v>Marche à pied au-delà de 5 minutes</v>
      </c>
      <c r="G1158" s="587">
        <f t="shared" si="96"/>
        <v>7</v>
      </c>
      <c r="H1158" s="587"/>
      <c r="I1158" s="587">
        <v>7</v>
      </c>
      <c r="J1158" s="587">
        <f t="shared" si="97"/>
        <v>0</v>
      </c>
      <c r="K1158" s="587"/>
      <c r="L1158" s="587"/>
      <c r="M1158" s="587">
        <f t="shared" si="94"/>
        <v>7</v>
      </c>
      <c r="N1158" s="587">
        <f t="shared" si="94"/>
        <v>0</v>
      </c>
      <c r="O1158" s="587">
        <f t="shared" si="94"/>
        <v>0</v>
      </c>
      <c r="P1158" s="587">
        <f t="shared" si="93"/>
        <v>0</v>
      </c>
    </row>
    <row r="1159" spans="2:16">
      <c r="B1159" s="587" t="s">
        <v>868</v>
      </c>
      <c r="C1159" s="587" t="s">
        <v>869</v>
      </c>
      <c r="D1159" s="587" t="s">
        <v>871</v>
      </c>
      <c r="E1159" s="587"/>
      <c r="F1159" s="587" t="str">
        <f t="shared" si="95"/>
        <v>Marche à pied (exclusivement sur tout le trajet)</v>
      </c>
      <c r="G1159" s="587">
        <f t="shared" si="96"/>
        <v>7</v>
      </c>
      <c r="H1159" s="587"/>
      <c r="I1159" s="587">
        <v>3</v>
      </c>
      <c r="J1159" s="587">
        <f t="shared" si="97"/>
        <v>0</v>
      </c>
      <c r="K1159" s="587"/>
      <c r="L1159" s="587"/>
      <c r="M1159" s="587">
        <f t="shared" si="94"/>
        <v>7</v>
      </c>
      <c r="N1159" s="587">
        <f t="shared" si="94"/>
        <v>0</v>
      </c>
      <c r="O1159" s="587">
        <f t="shared" si="94"/>
        <v>0</v>
      </c>
      <c r="P1159" s="587">
        <f t="shared" si="93"/>
        <v>0</v>
      </c>
    </row>
    <row r="1160" spans="2:16">
      <c r="B1160" s="587" t="s">
        <v>868</v>
      </c>
      <c r="C1160" s="587" t="s">
        <v>869</v>
      </c>
      <c r="D1160" s="587" t="s">
        <v>871</v>
      </c>
      <c r="E1160" s="587"/>
      <c r="F1160" s="587" t="str">
        <f t="shared" si="95"/>
        <v>Marche à pied (exclusivement sur tout le trajet)</v>
      </c>
      <c r="G1160" s="587">
        <f t="shared" si="96"/>
        <v>7</v>
      </c>
      <c r="H1160" s="587"/>
      <c r="I1160" s="587">
        <v>7</v>
      </c>
      <c r="J1160" s="587">
        <f t="shared" si="97"/>
        <v>0</v>
      </c>
      <c r="K1160" s="587"/>
      <c r="L1160" s="587"/>
      <c r="M1160" s="587">
        <f t="shared" si="94"/>
        <v>7</v>
      </c>
      <c r="N1160" s="587">
        <f t="shared" si="94"/>
        <v>0</v>
      </c>
      <c r="O1160" s="587">
        <f t="shared" si="94"/>
        <v>0</v>
      </c>
      <c r="P1160" s="587">
        <f t="shared" si="93"/>
        <v>0</v>
      </c>
    </row>
    <row r="1161" spans="2:16">
      <c r="B1161" s="587" t="s">
        <v>868</v>
      </c>
      <c r="C1161" s="587" t="s">
        <v>875</v>
      </c>
      <c r="D1161" s="587" t="s">
        <v>871</v>
      </c>
      <c r="E1161" s="587"/>
      <c r="F1161" s="587" t="str">
        <f t="shared" si="95"/>
        <v>Marche à pied (exclusivement sur tout le trajet)</v>
      </c>
      <c r="G1161" s="587">
        <f t="shared" si="96"/>
        <v>7</v>
      </c>
      <c r="H1161" s="587"/>
      <c r="I1161" s="587">
        <v>4</v>
      </c>
      <c r="J1161" s="587">
        <f t="shared" si="97"/>
        <v>0</v>
      </c>
      <c r="K1161" s="587"/>
      <c r="L1161" s="587"/>
      <c r="M1161" s="587">
        <f t="shared" si="94"/>
        <v>0</v>
      </c>
      <c r="N1161" s="587">
        <f t="shared" si="94"/>
        <v>7</v>
      </c>
      <c r="O1161" s="587">
        <f t="shared" si="94"/>
        <v>0</v>
      </c>
      <c r="P1161" s="587">
        <f t="shared" si="93"/>
        <v>0</v>
      </c>
    </row>
    <row r="1162" spans="2:16">
      <c r="B1162" s="587" t="s">
        <v>868</v>
      </c>
      <c r="C1162" s="587" t="s">
        <v>869</v>
      </c>
      <c r="D1162" s="587" t="s">
        <v>871</v>
      </c>
      <c r="E1162" s="587"/>
      <c r="F1162" s="587" t="str">
        <f t="shared" si="95"/>
        <v>Marche à pied (exclusivement sur tout le trajet)</v>
      </c>
      <c r="G1162" s="587">
        <f t="shared" si="96"/>
        <v>7</v>
      </c>
      <c r="H1162" s="587"/>
      <c r="I1162" s="587">
        <v>10</v>
      </c>
      <c r="J1162" s="587">
        <f t="shared" si="97"/>
        <v>0</v>
      </c>
      <c r="K1162" s="587"/>
      <c r="L1162" s="587"/>
      <c r="M1162" s="587">
        <f t="shared" si="94"/>
        <v>7</v>
      </c>
      <c r="N1162" s="587">
        <f t="shared" si="94"/>
        <v>0</v>
      </c>
      <c r="O1162" s="587">
        <f t="shared" si="94"/>
        <v>0</v>
      </c>
      <c r="P1162" s="587">
        <f t="shared" si="93"/>
        <v>0</v>
      </c>
    </row>
    <row r="1163" spans="2:16">
      <c r="B1163" s="587" t="s">
        <v>868</v>
      </c>
      <c r="C1163" s="587" t="s">
        <v>869</v>
      </c>
      <c r="D1163" s="587" t="s">
        <v>871</v>
      </c>
      <c r="E1163" s="587"/>
      <c r="F1163" s="587" t="str">
        <f t="shared" si="95"/>
        <v>Marche à pied (exclusivement sur tout le trajet)</v>
      </c>
      <c r="G1163" s="587">
        <f t="shared" si="96"/>
        <v>7</v>
      </c>
      <c r="H1163" s="587"/>
      <c r="I1163" s="587">
        <v>6</v>
      </c>
      <c r="J1163" s="587">
        <f t="shared" si="97"/>
        <v>0</v>
      </c>
      <c r="K1163" s="587"/>
      <c r="L1163" s="587"/>
      <c r="M1163" s="587">
        <f t="shared" si="94"/>
        <v>7</v>
      </c>
      <c r="N1163" s="587">
        <f t="shared" si="94"/>
        <v>0</v>
      </c>
      <c r="O1163" s="587">
        <f t="shared" si="94"/>
        <v>0</v>
      </c>
      <c r="P1163" s="587">
        <f t="shared" si="93"/>
        <v>0</v>
      </c>
    </row>
    <row r="1164" spans="2:16">
      <c r="B1164" s="587" t="s">
        <v>868</v>
      </c>
      <c r="C1164" s="587" t="s">
        <v>869</v>
      </c>
      <c r="D1164" s="587" t="s">
        <v>871</v>
      </c>
      <c r="E1164" s="587"/>
      <c r="F1164" s="587" t="str">
        <f t="shared" si="95"/>
        <v>Marche à pied (exclusivement sur tout le trajet)</v>
      </c>
      <c r="G1164" s="587">
        <f t="shared" si="96"/>
        <v>7</v>
      </c>
      <c r="H1164" s="587"/>
      <c r="I1164" s="587">
        <v>15</v>
      </c>
      <c r="J1164" s="587">
        <f t="shared" si="97"/>
        <v>0</v>
      </c>
      <c r="K1164" s="587"/>
      <c r="L1164" s="587"/>
      <c r="M1164" s="587">
        <f t="shared" si="94"/>
        <v>7</v>
      </c>
      <c r="N1164" s="587">
        <f t="shared" si="94"/>
        <v>0</v>
      </c>
      <c r="O1164" s="587">
        <f t="shared" si="94"/>
        <v>0</v>
      </c>
      <c r="P1164" s="587">
        <f t="shared" si="93"/>
        <v>0</v>
      </c>
    </row>
    <row r="1165" spans="2:16">
      <c r="B1165" s="587" t="s">
        <v>868</v>
      </c>
      <c r="C1165" s="587" t="s">
        <v>869</v>
      </c>
      <c r="D1165" s="587" t="s">
        <v>876</v>
      </c>
      <c r="E1165" s="587"/>
      <c r="F1165" s="587" t="str">
        <f t="shared" si="95"/>
        <v>Trottinette, roller, skateboard,...</v>
      </c>
      <c r="G1165" s="587">
        <f t="shared" si="96"/>
        <v>7</v>
      </c>
      <c r="H1165" s="587"/>
      <c r="I1165" s="587">
        <v>10</v>
      </c>
      <c r="J1165" s="587">
        <f t="shared" si="97"/>
        <v>0</v>
      </c>
      <c r="K1165" s="587"/>
      <c r="L1165" s="587"/>
      <c r="M1165" s="587">
        <f t="shared" si="94"/>
        <v>7</v>
      </c>
      <c r="N1165" s="587">
        <f t="shared" si="94"/>
        <v>0</v>
      </c>
      <c r="O1165" s="587">
        <f t="shared" si="94"/>
        <v>0</v>
      </c>
      <c r="P1165" s="587">
        <f t="shared" si="93"/>
        <v>0</v>
      </c>
    </row>
    <row r="1166" spans="2:16">
      <c r="B1166" s="587" t="s">
        <v>868</v>
      </c>
      <c r="C1166" s="587" t="s">
        <v>869</v>
      </c>
      <c r="D1166" s="587" t="s">
        <v>871</v>
      </c>
      <c r="E1166" s="587"/>
      <c r="F1166" s="587" t="str">
        <f t="shared" si="95"/>
        <v>Marche à pied (exclusivement sur tout le trajet)</v>
      </c>
      <c r="G1166" s="587">
        <f t="shared" si="96"/>
        <v>7</v>
      </c>
      <c r="H1166" s="587"/>
      <c r="I1166" s="587">
        <v>5</v>
      </c>
      <c r="J1166" s="587">
        <f t="shared" si="97"/>
        <v>0</v>
      </c>
      <c r="K1166" s="587"/>
      <c r="L1166" s="587"/>
      <c r="M1166" s="587">
        <f t="shared" si="94"/>
        <v>7</v>
      </c>
      <c r="N1166" s="587">
        <f t="shared" si="94"/>
        <v>0</v>
      </c>
      <c r="O1166" s="587">
        <f t="shared" si="94"/>
        <v>0</v>
      </c>
      <c r="P1166" s="587">
        <f t="shared" si="93"/>
        <v>0</v>
      </c>
    </row>
    <row r="1167" spans="2:16">
      <c r="B1167" s="587" t="s">
        <v>868</v>
      </c>
      <c r="C1167" s="587" t="s">
        <v>869</v>
      </c>
      <c r="D1167" s="587" t="s">
        <v>871</v>
      </c>
      <c r="E1167" s="587"/>
      <c r="F1167" s="587" t="str">
        <f t="shared" si="95"/>
        <v>Marche à pied (exclusivement sur tout le trajet)</v>
      </c>
      <c r="G1167" s="587">
        <f t="shared" si="96"/>
        <v>7</v>
      </c>
      <c r="H1167" s="587"/>
      <c r="I1167" s="587">
        <v>5</v>
      </c>
      <c r="J1167" s="587">
        <f t="shared" si="97"/>
        <v>0</v>
      </c>
      <c r="K1167" s="587"/>
      <c r="L1167" s="587"/>
      <c r="M1167" s="587">
        <f t="shared" si="94"/>
        <v>7</v>
      </c>
      <c r="N1167" s="587">
        <f t="shared" si="94"/>
        <v>0</v>
      </c>
      <c r="O1167" s="587">
        <f t="shared" si="94"/>
        <v>0</v>
      </c>
      <c r="P1167" s="587">
        <f t="shared" si="93"/>
        <v>0</v>
      </c>
    </row>
    <row r="1168" spans="2:16">
      <c r="B1168" s="587" t="s">
        <v>868</v>
      </c>
      <c r="C1168" s="587" t="s">
        <v>35</v>
      </c>
      <c r="D1168" s="587" t="s">
        <v>873</v>
      </c>
      <c r="E1168" s="587"/>
      <c r="F1168" s="587" t="str">
        <f t="shared" si="95"/>
        <v>Tramway</v>
      </c>
      <c r="G1168" s="587">
        <f t="shared" si="96"/>
        <v>1</v>
      </c>
      <c r="H1168" s="587"/>
      <c r="I1168" s="587">
        <v>15</v>
      </c>
      <c r="J1168" s="587">
        <f t="shared" si="97"/>
        <v>4.8833333333333326E-2</v>
      </c>
      <c r="K1168" s="587"/>
      <c r="L1168" s="587"/>
      <c r="M1168" s="587">
        <f t="shared" si="94"/>
        <v>0</v>
      </c>
      <c r="N1168" s="587">
        <f t="shared" si="94"/>
        <v>0</v>
      </c>
      <c r="O1168" s="587">
        <f t="shared" si="94"/>
        <v>0</v>
      </c>
      <c r="P1168" s="587">
        <f t="shared" si="93"/>
        <v>1</v>
      </c>
    </row>
    <row r="1169" spans="2:16">
      <c r="B1169" s="587" t="s">
        <v>868</v>
      </c>
      <c r="C1169" s="587" t="s">
        <v>869</v>
      </c>
      <c r="D1169" s="587" t="s">
        <v>871</v>
      </c>
      <c r="E1169" s="587"/>
      <c r="F1169" s="587" t="str">
        <f t="shared" si="95"/>
        <v>Marche à pied (exclusivement sur tout le trajet)</v>
      </c>
      <c r="G1169" s="587">
        <f t="shared" si="96"/>
        <v>7</v>
      </c>
      <c r="H1169" s="587"/>
      <c r="I1169" s="587">
        <v>10</v>
      </c>
      <c r="J1169" s="587">
        <f t="shared" si="97"/>
        <v>0</v>
      </c>
      <c r="K1169" s="587"/>
      <c r="L1169" s="587"/>
      <c r="M1169" s="587">
        <f t="shared" si="94"/>
        <v>7</v>
      </c>
      <c r="N1169" s="587">
        <f t="shared" si="94"/>
        <v>0</v>
      </c>
      <c r="O1169" s="587">
        <f t="shared" si="94"/>
        <v>0</v>
      </c>
      <c r="P1169" s="587">
        <f t="shared" si="93"/>
        <v>0</v>
      </c>
    </row>
    <row r="1170" spans="2:16">
      <c r="B1170" s="587" t="s">
        <v>868</v>
      </c>
      <c r="C1170" s="587" t="s">
        <v>869</v>
      </c>
      <c r="D1170" s="587" t="s">
        <v>871</v>
      </c>
      <c r="E1170" s="587"/>
      <c r="F1170" s="587" t="str">
        <f t="shared" si="95"/>
        <v>Marche à pied (exclusivement sur tout le trajet)</v>
      </c>
      <c r="G1170" s="587">
        <f t="shared" si="96"/>
        <v>7</v>
      </c>
      <c r="H1170" s="587"/>
      <c r="I1170" s="587">
        <v>3</v>
      </c>
      <c r="J1170" s="587">
        <f t="shared" si="97"/>
        <v>0</v>
      </c>
      <c r="K1170" s="587"/>
      <c r="L1170" s="587"/>
      <c r="M1170" s="587">
        <f t="shared" si="94"/>
        <v>7</v>
      </c>
      <c r="N1170" s="587">
        <f t="shared" si="94"/>
        <v>0</v>
      </c>
      <c r="O1170" s="587">
        <f t="shared" si="94"/>
        <v>0</v>
      </c>
      <c r="P1170" s="587">
        <f t="shared" si="93"/>
        <v>0</v>
      </c>
    </row>
    <row r="1171" spans="2:16">
      <c r="B1171" s="587" t="s">
        <v>868</v>
      </c>
      <c r="C1171" s="587" t="s">
        <v>869</v>
      </c>
      <c r="D1171" s="587" t="s">
        <v>871</v>
      </c>
      <c r="E1171" s="587"/>
      <c r="F1171" s="587" t="str">
        <f t="shared" si="95"/>
        <v>Marche à pied (exclusivement sur tout le trajet)</v>
      </c>
      <c r="G1171" s="587">
        <f t="shared" si="96"/>
        <v>7</v>
      </c>
      <c r="H1171" s="587"/>
      <c r="I1171" s="587">
        <v>10</v>
      </c>
      <c r="J1171" s="587">
        <f t="shared" si="97"/>
        <v>0</v>
      </c>
      <c r="K1171" s="587"/>
      <c r="L1171" s="587"/>
      <c r="M1171" s="587">
        <f t="shared" si="94"/>
        <v>7</v>
      </c>
      <c r="N1171" s="587">
        <f t="shared" si="94"/>
        <v>0</v>
      </c>
      <c r="O1171" s="587">
        <f t="shared" si="94"/>
        <v>0</v>
      </c>
      <c r="P1171" s="587">
        <f t="shared" si="93"/>
        <v>0</v>
      </c>
    </row>
    <row r="1172" spans="2:16">
      <c r="B1172" s="587" t="s">
        <v>868</v>
      </c>
      <c r="C1172" s="587" t="s">
        <v>869</v>
      </c>
      <c r="D1172" s="587" t="s">
        <v>873</v>
      </c>
      <c r="E1172" s="587"/>
      <c r="F1172" s="587" t="str">
        <f t="shared" si="95"/>
        <v>Tramway</v>
      </c>
      <c r="G1172" s="587">
        <f t="shared" si="96"/>
        <v>1</v>
      </c>
      <c r="H1172" s="587"/>
      <c r="I1172" s="587">
        <v>20</v>
      </c>
      <c r="J1172" s="587">
        <f t="shared" si="97"/>
        <v>4.8833333333333326E-2</v>
      </c>
      <c r="K1172" s="587"/>
      <c r="L1172" s="587"/>
      <c r="M1172" s="587">
        <f t="shared" si="94"/>
        <v>1</v>
      </c>
      <c r="N1172" s="587">
        <f t="shared" si="94"/>
        <v>0</v>
      </c>
      <c r="O1172" s="587">
        <f t="shared" si="94"/>
        <v>0</v>
      </c>
      <c r="P1172" s="587">
        <f t="shared" si="93"/>
        <v>0</v>
      </c>
    </row>
    <row r="1173" spans="2:16">
      <c r="B1173" s="587" t="s">
        <v>868</v>
      </c>
      <c r="C1173" s="587" t="s">
        <v>869</v>
      </c>
      <c r="D1173" s="587" t="s">
        <v>873</v>
      </c>
      <c r="E1173" s="587"/>
      <c r="F1173" s="587" t="str">
        <f t="shared" si="95"/>
        <v>Tramway</v>
      </c>
      <c r="G1173" s="587">
        <f t="shared" si="96"/>
        <v>1</v>
      </c>
      <c r="H1173" s="587"/>
      <c r="I1173" s="587"/>
      <c r="J1173" s="587">
        <f t="shared" si="97"/>
        <v>4.8833333333333326E-2</v>
      </c>
      <c r="K1173" s="587"/>
      <c r="L1173" s="587"/>
      <c r="M1173" s="587">
        <f t="shared" si="94"/>
        <v>1</v>
      </c>
      <c r="N1173" s="587">
        <f t="shared" si="94"/>
        <v>0</v>
      </c>
      <c r="O1173" s="587">
        <f t="shared" si="94"/>
        <v>0</v>
      </c>
      <c r="P1173" s="587">
        <f t="shared" si="93"/>
        <v>0</v>
      </c>
    </row>
    <row r="1174" spans="2:16">
      <c r="B1174" s="587" t="s">
        <v>868</v>
      </c>
      <c r="C1174" s="587" t="s">
        <v>869</v>
      </c>
      <c r="D1174" s="587" t="s">
        <v>871</v>
      </c>
      <c r="E1174" s="587"/>
      <c r="F1174" s="587" t="str">
        <f t="shared" si="95"/>
        <v>Marche à pied (exclusivement sur tout le trajet)</v>
      </c>
      <c r="G1174" s="587">
        <f t="shared" si="96"/>
        <v>7</v>
      </c>
      <c r="H1174" s="587"/>
      <c r="I1174" s="587">
        <v>10</v>
      </c>
      <c r="J1174" s="587">
        <f t="shared" si="97"/>
        <v>0</v>
      </c>
      <c r="K1174" s="587"/>
      <c r="L1174" s="587"/>
      <c r="M1174" s="587">
        <f t="shared" si="94"/>
        <v>7</v>
      </c>
      <c r="N1174" s="587">
        <f t="shared" si="94"/>
        <v>0</v>
      </c>
      <c r="O1174" s="587">
        <f t="shared" si="94"/>
        <v>0</v>
      </c>
      <c r="P1174" s="587">
        <f t="shared" si="93"/>
        <v>0</v>
      </c>
    </row>
    <row r="1175" spans="2:16">
      <c r="B1175" s="587" t="s">
        <v>868</v>
      </c>
      <c r="C1175" s="587" t="s">
        <v>869</v>
      </c>
      <c r="D1175" s="587" t="s">
        <v>871</v>
      </c>
      <c r="E1175" s="587"/>
      <c r="F1175" s="587" t="str">
        <f t="shared" si="95"/>
        <v>Marche à pied (exclusivement sur tout le trajet)</v>
      </c>
      <c r="G1175" s="587">
        <f t="shared" si="96"/>
        <v>7</v>
      </c>
      <c r="H1175" s="587"/>
      <c r="I1175" s="587">
        <v>4</v>
      </c>
      <c r="J1175" s="587">
        <f t="shared" si="97"/>
        <v>0</v>
      </c>
      <c r="K1175" s="587"/>
      <c r="L1175" s="587"/>
      <c r="M1175" s="587">
        <f t="shared" si="94"/>
        <v>7</v>
      </c>
      <c r="N1175" s="587">
        <f t="shared" si="94"/>
        <v>0</v>
      </c>
      <c r="O1175" s="587">
        <f t="shared" si="94"/>
        <v>0</v>
      </c>
      <c r="P1175" s="587">
        <f t="shared" si="93"/>
        <v>0</v>
      </c>
    </row>
    <row r="1176" spans="2:16">
      <c r="B1176" s="587" t="s">
        <v>868</v>
      </c>
      <c r="C1176" s="587" t="s">
        <v>869</v>
      </c>
      <c r="D1176" s="587" t="s">
        <v>871</v>
      </c>
      <c r="E1176" s="587"/>
      <c r="F1176" s="587" t="str">
        <f t="shared" si="95"/>
        <v>Marche à pied (exclusivement sur tout le trajet)</v>
      </c>
      <c r="G1176" s="587">
        <f t="shared" si="96"/>
        <v>7</v>
      </c>
      <c r="H1176" s="587"/>
      <c r="I1176" s="587">
        <v>10</v>
      </c>
      <c r="J1176" s="587">
        <f t="shared" si="97"/>
        <v>0</v>
      </c>
      <c r="K1176" s="587"/>
      <c r="L1176" s="587"/>
      <c r="M1176" s="587">
        <f t="shared" si="94"/>
        <v>7</v>
      </c>
      <c r="N1176" s="587">
        <f t="shared" si="94"/>
        <v>0</v>
      </c>
      <c r="O1176" s="587">
        <f t="shared" si="94"/>
        <v>0</v>
      </c>
      <c r="P1176" s="587">
        <f t="shared" si="93"/>
        <v>0</v>
      </c>
    </row>
    <row r="1177" spans="2:16">
      <c r="B1177" s="587" t="s">
        <v>868</v>
      </c>
      <c r="C1177" s="587" t="s">
        <v>869</v>
      </c>
      <c r="D1177" s="587"/>
      <c r="E1177" s="587" t="s">
        <v>878</v>
      </c>
      <c r="F1177" s="587" t="str">
        <f t="shared" si="95"/>
        <v>Marche à pied au-delà de 5 minutes</v>
      </c>
      <c r="G1177" s="587">
        <f t="shared" si="96"/>
        <v>7</v>
      </c>
      <c r="H1177" s="587"/>
      <c r="I1177" s="587">
        <v>10</v>
      </c>
      <c r="J1177" s="587">
        <f t="shared" si="97"/>
        <v>0</v>
      </c>
      <c r="K1177" s="587"/>
      <c r="L1177" s="587"/>
      <c r="M1177" s="587">
        <f t="shared" si="94"/>
        <v>7</v>
      </c>
      <c r="N1177" s="587">
        <f t="shared" si="94"/>
        <v>0</v>
      </c>
      <c r="O1177" s="587">
        <f t="shared" si="94"/>
        <v>0</v>
      </c>
      <c r="P1177" s="587">
        <f t="shared" si="94"/>
        <v>0</v>
      </c>
    </row>
    <row r="1178" spans="2:16">
      <c r="B1178" s="587" t="s">
        <v>868</v>
      </c>
      <c r="C1178" s="587" t="s">
        <v>869</v>
      </c>
      <c r="D1178" s="587" t="s">
        <v>871</v>
      </c>
      <c r="E1178" s="587"/>
      <c r="F1178" s="587" t="str">
        <f t="shared" si="95"/>
        <v>Marche à pied (exclusivement sur tout le trajet)</v>
      </c>
      <c r="G1178" s="587">
        <f t="shared" si="96"/>
        <v>7</v>
      </c>
      <c r="H1178" s="587"/>
      <c r="I1178" s="587">
        <v>3</v>
      </c>
      <c r="J1178" s="587">
        <f t="shared" si="97"/>
        <v>0</v>
      </c>
      <c r="K1178" s="587"/>
      <c r="L1178" s="587"/>
      <c r="M1178" s="587">
        <f t="shared" ref="M1178:P1241" si="98">IF($C1178=M$27,$G1178,0)</f>
        <v>7</v>
      </c>
      <c r="N1178" s="587">
        <f t="shared" si="98"/>
        <v>0</v>
      </c>
      <c r="O1178" s="587">
        <f t="shared" si="98"/>
        <v>0</v>
      </c>
      <c r="P1178" s="587">
        <f t="shared" si="98"/>
        <v>0</v>
      </c>
    </row>
    <row r="1179" spans="2:16">
      <c r="B1179" s="587" t="s">
        <v>868</v>
      </c>
      <c r="C1179" s="587" t="s">
        <v>869</v>
      </c>
      <c r="D1179" s="587" t="s">
        <v>879</v>
      </c>
      <c r="E1179" s="587"/>
      <c r="F1179" s="587" t="str">
        <f t="shared" si="95"/>
        <v>Voiture (seul(e))</v>
      </c>
      <c r="G1179" s="587">
        <f t="shared" si="96"/>
        <v>3</v>
      </c>
      <c r="H1179" s="587"/>
      <c r="I1179" s="587">
        <v>60</v>
      </c>
      <c r="J1179" s="587">
        <f t="shared" si="97"/>
        <v>2.7600000000000002</v>
      </c>
      <c r="K1179" s="587"/>
      <c r="L1179" s="587"/>
      <c r="M1179" s="587">
        <f t="shared" si="98"/>
        <v>3</v>
      </c>
      <c r="N1179" s="587">
        <f t="shared" si="98"/>
        <v>0</v>
      </c>
      <c r="O1179" s="587">
        <f t="shared" si="98"/>
        <v>0</v>
      </c>
      <c r="P1179" s="587">
        <f t="shared" si="98"/>
        <v>0</v>
      </c>
    </row>
    <row r="1180" spans="2:16">
      <c r="B1180" s="587" t="s">
        <v>868</v>
      </c>
      <c r="C1180" s="587" t="s">
        <v>869</v>
      </c>
      <c r="D1180" s="587" t="s">
        <v>872</v>
      </c>
      <c r="E1180" s="587"/>
      <c r="F1180" s="587" t="str">
        <f t="shared" si="95"/>
        <v>Vélo personnel (y compris vélo à assistance électrique)</v>
      </c>
      <c r="G1180" s="587">
        <f t="shared" si="96"/>
        <v>7</v>
      </c>
      <c r="H1180" s="587"/>
      <c r="I1180" s="587">
        <v>3</v>
      </c>
      <c r="J1180" s="587">
        <f t="shared" si="97"/>
        <v>0</v>
      </c>
      <c r="K1180" s="587"/>
      <c r="L1180" s="587"/>
      <c r="M1180" s="587">
        <f t="shared" si="98"/>
        <v>7</v>
      </c>
      <c r="N1180" s="587">
        <f t="shared" si="98"/>
        <v>0</v>
      </c>
      <c r="O1180" s="587">
        <f t="shared" si="98"/>
        <v>0</v>
      </c>
      <c r="P1180" s="587">
        <f t="shared" si="98"/>
        <v>0</v>
      </c>
    </row>
    <row r="1181" spans="2:16">
      <c r="B1181" s="587" t="s">
        <v>868</v>
      </c>
      <c r="C1181" s="587" t="s">
        <v>869</v>
      </c>
      <c r="D1181" s="587" t="s">
        <v>871</v>
      </c>
      <c r="E1181" s="587"/>
      <c r="F1181" s="587" t="str">
        <f t="shared" si="95"/>
        <v>Marche à pied (exclusivement sur tout le trajet)</v>
      </c>
      <c r="G1181" s="587">
        <f t="shared" si="96"/>
        <v>7</v>
      </c>
      <c r="H1181" s="587"/>
      <c r="I1181" s="587">
        <v>30</v>
      </c>
      <c r="J1181" s="587">
        <f t="shared" si="97"/>
        <v>0</v>
      </c>
      <c r="K1181" s="587"/>
      <c r="L1181" s="587"/>
      <c r="M1181" s="587">
        <f t="shared" si="98"/>
        <v>7</v>
      </c>
      <c r="N1181" s="587">
        <f t="shared" si="98"/>
        <v>0</v>
      </c>
      <c r="O1181" s="587">
        <f t="shared" si="98"/>
        <v>0</v>
      </c>
      <c r="P1181" s="587">
        <f t="shared" si="98"/>
        <v>0</v>
      </c>
    </row>
    <row r="1182" spans="2:16">
      <c r="B1182" s="587" t="s">
        <v>868</v>
      </c>
      <c r="C1182" s="587" t="s">
        <v>869</v>
      </c>
      <c r="D1182" s="587" t="s">
        <v>871</v>
      </c>
      <c r="E1182" s="587"/>
      <c r="F1182" s="587" t="str">
        <f t="shared" si="95"/>
        <v>Marche à pied (exclusivement sur tout le trajet)</v>
      </c>
      <c r="G1182" s="587">
        <f t="shared" si="96"/>
        <v>7</v>
      </c>
      <c r="H1182" s="587"/>
      <c r="I1182" s="587">
        <v>2</v>
      </c>
      <c r="J1182" s="587">
        <f t="shared" si="97"/>
        <v>0</v>
      </c>
      <c r="K1182" s="587"/>
      <c r="L1182" s="587"/>
      <c r="M1182" s="587">
        <f t="shared" si="98"/>
        <v>7</v>
      </c>
      <c r="N1182" s="587">
        <f t="shared" si="98"/>
        <v>0</v>
      </c>
      <c r="O1182" s="587">
        <f t="shared" si="98"/>
        <v>0</v>
      </c>
      <c r="P1182" s="587">
        <f t="shared" si="98"/>
        <v>0</v>
      </c>
    </row>
    <row r="1183" spans="2:16">
      <c r="B1183" s="587" t="s">
        <v>868</v>
      </c>
      <c r="C1183" s="587" t="s">
        <v>869</v>
      </c>
      <c r="D1183" s="587" t="s">
        <v>872</v>
      </c>
      <c r="E1183" s="587"/>
      <c r="F1183" s="587" t="str">
        <f t="shared" si="95"/>
        <v>Vélo personnel (y compris vélo à assistance électrique)</v>
      </c>
      <c r="G1183" s="587">
        <f t="shared" si="96"/>
        <v>7</v>
      </c>
      <c r="H1183" s="587"/>
      <c r="I1183" s="587">
        <v>10</v>
      </c>
      <c r="J1183" s="587">
        <f t="shared" si="97"/>
        <v>0</v>
      </c>
      <c r="K1183" s="587"/>
      <c r="L1183" s="587"/>
      <c r="M1183" s="587">
        <f t="shared" si="98"/>
        <v>7</v>
      </c>
      <c r="N1183" s="587">
        <f t="shared" si="98"/>
        <v>0</v>
      </c>
      <c r="O1183" s="587">
        <f t="shared" si="98"/>
        <v>0</v>
      </c>
      <c r="P1183" s="587">
        <f t="shared" si="98"/>
        <v>0</v>
      </c>
    </row>
    <row r="1184" spans="2:16">
      <c r="B1184" s="587" t="s">
        <v>868</v>
      </c>
      <c r="C1184" s="587" t="s">
        <v>869</v>
      </c>
      <c r="D1184" s="587"/>
      <c r="E1184" s="587" t="s">
        <v>870</v>
      </c>
      <c r="F1184" s="587" t="str">
        <f t="shared" si="95"/>
        <v>Métro</v>
      </c>
      <c r="G1184" s="587">
        <f t="shared" si="96"/>
        <v>1</v>
      </c>
      <c r="H1184" s="587"/>
      <c r="I1184" s="587">
        <v>25</v>
      </c>
      <c r="J1184" s="587">
        <f t="shared" si="97"/>
        <v>4.8833333333333326E-2</v>
      </c>
      <c r="K1184" s="587"/>
      <c r="L1184" s="587"/>
      <c r="M1184" s="587">
        <f t="shared" si="98"/>
        <v>1</v>
      </c>
      <c r="N1184" s="587">
        <f t="shared" si="98"/>
        <v>0</v>
      </c>
      <c r="O1184" s="587">
        <f t="shared" si="98"/>
        <v>0</v>
      </c>
      <c r="P1184" s="587">
        <f t="shared" si="98"/>
        <v>0</v>
      </c>
    </row>
    <row r="1185" spans="2:16">
      <c r="B1185" s="587" t="s">
        <v>868</v>
      </c>
      <c r="C1185" s="587" t="s">
        <v>869</v>
      </c>
      <c r="D1185" s="587" t="s">
        <v>871</v>
      </c>
      <c r="E1185" s="587"/>
      <c r="F1185" s="587" t="str">
        <f t="shared" si="95"/>
        <v>Marche à pied (exclusivement sur tout le trajet)</v>
      </c>
      <c r="G1185" s="587">
        <f t="shared" si="96"/>
        <v>7</v>
      </c>
      <c r="H1185" s="587"/>
      <c r="I1185" s="587">
        <v>5</v>
      </c>
      <c r="J1185" s="587">
        <f t="shared" si="97"/>
        <v>0</v>
      </c>
      <c r="K1185" s="587"/>
      <c r="L1185" s="587"/>
      <c r="M1185" s="587">
        <f t="shared" si="98"/>
        <v>7</v>
      </c>
      <c r="N1185" s="587">
        <f t="shared" si="98"/>
        <v>0</v>
      </c>
      <c r="O1185" s="587">
        <f t="shared" si="98"/>
        <v>0</v>
      </c>
      <c r="P1185" s="587">
        <f t="shared" si="98"/>
        <v>0</v>
      </c>
    </row>
    <row r="1186" spans="2:16">
      <c r="B1186" s="587" t="s">
        <v>868</v>
      </c>
      <c r="C1186" s="587" t="s">
        <v>869</v>
      </c>
      <c r="D1186" s="587" t="s">
        <v>872</v>
      </c>
      <c r="E1186" s="587"/>
      <c r="F1186" s="587" t="str">
        <f t="shared" si="95"/>
        <v>Vélo personnel (y compris vélo à assistance électrique)</v>
      </c>
      <c r="G1186" s="587">
        <f t="shared" si="96"/>
        <v>7</v>
      </c>
      <c r="H1186" s="587"/>
      <c r="I1186" s="587">
        <v>15</v>
      </c>
      <c r="J1186" s="587">
        <f t="shared" si="97"/>
        <v>0</v>
      </c>
      <c r="K1186" s="587"/>
      <c r="L1186" s="587"/>
      <c r="M1186" s="587">
        <f t="shared" si="98"/>
        <v>7</v>
      </c>
      <c r="N1186" s="587">
        <f t="shared" si="98"/>
        <v>0</v>
      </c>
      <c r="O1186" s="587">
        <f t="shared" si="98"/>
        <v>0</v>
      </c>
      <c r="P1186" s="587">
        <f t="shared" si="98"/>
        <v>0</v>
      </c>
    </row>
    <row r="1187" spans="2:16">
      <c r="B1187" s="587" t="s">
        <v>868</v>
      </c>
      <c r="C1187" s="587" t="s">
        <v>869</v>
      </c>
      <c r="D1187" s="587"/>
      <c r="E1187" s="587" t="s">
        <v>878</v>
      </c>
      <c r="F1187" s="587" t="str">
        <f t="shared" si="95"/>
        <v>Marche à pied au-delà de 5 minutes</v>
      </c>
      <c r="G1187" s="587">
        <f t="shared" si="96"/>
        <v>7</v>
      </c>
      <c r="H1187" s="587"/>
      <c r="I1187" s="587">
        <v>15</v>
      </c>
      <c r="J1187" s="587">
        <f t="shared" si="97"/>
        <v>0</v>
      </c>
      <c r="K1187" s="587"/>
      <c r="L1187" s="587"/>
      <c r="M1187" s="587">
        <f t="shared" si="98"/>
        <v>7</v>
      </c>
      <c r="N1187" s="587">
        <f t="shared" si="98"/>
        <v>0</v>
      </c>
      <c r="O1187" s="587">
        <f t="shared" si="98"/>
        <v>0</v>
      </c>
      <c r="P1187" s="587">
        <f t="shared" si="98"/>
        <v>0</v>
      </c>
    </row>
    <row r="1188" spans="2:16">
      <c r="B1188" s="587" t="s">
        <v>868</v>
      </c>
      <c r="C1188" s="587" t="s">
        <v>869</v>
      </c>
      <c r="D1188" s="587"/>
      <c r="E1188" s="587" t="s">
        <v>878</v>
      </c>
      <c r="F1188" s="587" t="str">
        <f t="shared" si="95"/>
        <v>Marche à pied au-delà de 5 minutes</v>
      </c>
      <c r="G1188" s="587">
        <f t="shared" si="96"/>
        <v>7</v>
      </c>
      <c r="H1188" s="587"/>
      <c r="I1188" s="587">
        <v>25</v>
      </c>
      <c r="J1188" s="587">
        <f t="shared" si="97"/>
        <v>0</v>
      </c>
      <c r="K1188" s="587"/>
      <c r="L1188" s="587"/>
      <c r="M1188" s="587">
        <f t="shared" si="98"/>
        <v>7</v>
      </c>
      <c r="N1188" s="587">
        <f t="shared" si="98"/>
        <v>0</v>
      </c>
      <c r="O1188" s="587">
        <f t="shared" si="98"/>
        <v>0</v>
      </c>
      <c r="P1188" s="587">
        <f t="shared" si="98"/>
        <v>0</v>
      </c>
    </row>
    <row r="1189" spans="2:16">
      <c r="B1189" s="587" t="s">
        <v>868</v>
      </c>
      <c r="C1189" s="587" t="s">
        <v>869</v>
      </c>
      <c r="D1189" s="587" t="s">
        <v>871</v>
      </c>
      <c r="E1189" s="587"/>
      <c r="F1189" s="587" t="str">
        <f t="shared" si="95"/>
        <v>Marche à pied (exclusivement sur tout le trajet)</v>
      </c>
      <c r="G1189" s="587">
        <f t="shared" si="96"/>
        <v>7</v>
      </c>
      <c r="H1189" s="587"/>
      <c r="I1189" s="587">
        <v>10</v>
      </c>
      <c r="J1189" s="587">
        <f t="shared" si="97"/>
        <v>0</v>
      </c>
      <c r="K1189" s="587"/>
      <c r="L1189" s="587"/>
      <c r="M1189" s="587">
        <f t="shared" si="98"/>
        <v>7</v>
      </c>
      <c r="N1189" s="587">
        <f t="shared" si="98"/>
        <v>0</v>
      </c>
      <c r="O1189" s="587">
        <f t="shared" si="98"/>
        <v>0</v>
      </c>
      <c r="P1189" s="587">
        <f t="shared" si="98"/>
        <v>0</v>
      </c>
    </row>
    <row r="1190" spans="2:16">
      <c r="B1190" s="587" t="s">
        <v>868</v>
      </c>
      <c r="C1190" s="587" t="s">
        <v>869</v>
      </c>
      <c r="D1190" s="587" t="s">
        <v>872</v>
      </c>
      <c r="E1190" s="587"/>
      <c r="F1190" s="587" t="str">
        <f t="shared" si="95"/>
        <v>Vélo personnel (y compris vélo à assistance électrique)</v>
      </c>
      <c r="G1190" s="587">
        <f t="shared" si="96"/>
        <v>7</v>
      </c>
      <c r="H1190" s="587"/>
      <c r="I1190" s="587">
        <v>7</v>
      </c>
      <c r="J1190" s="587">
        <f t="shared" si="97"/>
        <v>0</v>
      </c>
      <c r="K1190" s="587"/>
      <c r="L1190" s="587"/>
      <c r="M1190" s="587">
        <f t="shared" si="98"/>
        <v>7</v>
      </c>
      <c r="N1190" s="587">
        <f t="shared" si="98"/>
        <v>0</v>
      </c>
      <c r="O1190" s="587">
        <f t="shared" si="98"/>
        <v>0</v>
      </c>
      <c r="P1190" s="587">
        <f t="shared" si="98"/>
        <v>0</v>
      </c>
    </row>
    <row r="1191" spans="2:16">
      <c r="B1191" s="587" t="s">
        <v>868</v>
      </c>
      <c r="C1191" s="587" t="s">
        <v>869</v>
      </c>
      <c r="D1191" s="587" t="s">
        <v>871</v>
      </c>
      <c r="E1191" s="587"/>
      <c r="F1191" s="587" t="str">
        <f t="shared" si="95"/>
        <v>Marche à pied (exclusivement sur tout le trajet)</v>
      </c>
      <c r="G1191" s="587">
        <f t="shared" si="96"/>
        <v>7</v>
      </c>
      <c r="H1191" s="587"/>
      <c r="I1191" s="587">
        <v>2</v>
      </c>
      <c r="J1191" s="587">
        <f t="shared" si="97"/>
        <v>0</v>
      </c>
      <c r="K1191" s="587"/>
      <c r="L1191" s="587"/>
      <c r="M1191" s="587">
        <f t="shared" si="98"/>
        <v>7</v>
      </c>
      <c r="N1191" s="587">
        <f t="shared" si="98"/>
        <v>0</v>
      </c>
      <c r="O1191" s="587">
        <f t="shared" si="98"/>
        <v>0</v>
      </c>
      <c r="P1191" s="587">
        <f t="shared" si="98"/>
        <v>0</v>
      </c>
    </row>
    <row r="1192" spans="2:16">
      <c r="B1192" s="587" t="s">
        <v>868</v>
      </c>
      <c r="C1192" s="587" t="s">
        <v>869</v>
      </c>
      <c r="D1192" s="587" t="s">
        <v>871</v>
      </c>
      <c r="E1192" s="587"/>
      <c r="F1192" s="587" t="str">
        <f t="shared" si="95"/>
        <v>Marche à pied (exclusivement sur tout le trajet)</v>
      </c>
      <c r="G1192" s="587">
        <f t="shared" si="96"/>
        <v>7</v>
      </c>
      <c r="H1192" s="587"/>
      <c r="I1192" s="587">
        <v>5</v>
      </c>
      <c r="J1192" s="587">
        <f t="shared" si="97"/>
        <v>0</v>
      </c>
      <c r="K1192" s="587"/>
      <c r="L1192" s="587"/>
      <c r="M1192" s="587">
        <f t="shared" si="98"/>
        <v>7</v>
      </c>
      <c r="N1192" s="587">
        <f t="shared" si="98"/>
        <v>0</v>
      </c>
      <c r="O1192" s="587">
        <f t="shared" si="98"/>
        <v>0</v>
      </c>
      <c r="P1192" s="587">
        <f t="shared" si="98"/>
        <v>0</v>
      </c>
    </row>
    <row r="1193" spans="2:16">
      <c r="B1193" s="587" t="s">
        <v>868</v>
      </c>
      <c r="C1193" s="587" t="s">
        <v>875</v>
      </c>
      <c r="D1193" s="587" t="s">
        <v>871</v>
      </c>
      <c r="E1193" s="587"/>
      <c r="F1193" s="587" t="str">
        <f t="shared" si="95"/>
        <v>Marche à pied (exclusivement sur tout le trajet)</v>
      </c>
      <c r="G1193" s="587">
        <f t="shared" si="96"/>
        <v>7</v>
      </c>
      <c r="H1193" s="587"/>
      <c r="I1193" s="587">
        <v>20</v>
      </c>
      <c r="J1193" s="587">
        <f t="shared" si="97"/>
        <v>0</v>
      </c>
      <c r="K1193" s="587"/>
      <c r="L1193" s="587"/>
      <c r="M1193" s="587">
        <f t="shared" si="98"/>
        <v>0</v>
      </c>
      <c r="N1193" s="587">
        <f t="shared" si="98"/>
        <v>7</v>
      </c>
      <c r="O1193" s="587">
        <f t="shared" si="98"/>
        <v>0</v>
      </c>
      <c r="P1193" s="587">
        <f t="shared" si="98"/>
        <v>0</v>
      </c>
    </row>
    <row r="1194" spans="2:16">
      <c r="B1194" s="587" t="s">
        <v>868</v>
      </c>
      <c r="C1194" s="587" t="s">
        <v>869</v>
      </c>
      <c r="D1194" s="587" t="s">
        <v>871</v>
      </c>
      <c r="E1194" s="587"/>
      <c r="F1194" s="587" t="str">
        <f t="shared" si="95"/>
        <v>Marche à pied (exclusivement sur tout le trajet)</v>
      </c>
      <c r="G1194" s="587">
        <f t="shared" si="96"/>
        <v>7</v>
      </c>
      <c r="H1194" s="587"/>
      <c r="I1194" s="587">
        <v>10</v>
      </c>
      <c r="J1194" s="587">
        <f t="shared" si="97"/>
        <v>0</v>
      </c>
      <c r="K1194" s="587"/>
      <c r="L1194" s="587"/>
      <c r="M1194" s="587">
        <f t="shared" si="98"/>
        <v>7</v>
      </c>
      <c r="N1194" s="587">
        <f t="shared" si="98"/>
        <v>0</v>
      </c>
      <c r="O1194" s="587">
        <f t="shared" si="98"/>
        <v>0</v>
      </c>
      <c r="P1194" s="587">
        <f t="shared" si="98"/>
        <v>0</v>
      </c>
    </row>
    <row r="1195" spans="2:16">
      <c r="B1195" s="587" t="s">
        <v>868</v>
      </c>
      <c r="C1195" s="587" t="s">
        <v>869</v>
      </c>
      <c r="D1195" s="587" t="s">
        <v>872</v>
      </c>
      <c r="E1195" s="587"/>
      <c r="F1195" s="587" t="str">
        <f t="shared" si="95"/>
        <v>Vélo personnel (y compris vélo à assistance électrique)</v>
      </c>
      <c r="G1195" s="587">
        <f t="shared" si="96"/>
        <v>7</v>
      </c>
      <c r="H1195" s="587"/>
      <c r="I1195" s="587">
        <v>20</v>
      </c>
      <c r="J1195" s="587">
        <f t="shared" si="97"/>
        <v>0</v>
      </c>
      <c r="K1195" s="587"/>
      <c r="L1195" s="587"/>
      <c r="M1195" s="587">
        <f t="shared" si="98"/>
        <v>7</v>
      </c>
      <c r="N1195" s="587">
        <f t="shared" si="98"/>
        <v>0</v>
      </c>
      <c r="O1195" s="587">
        <f t="shared" si="98"/>
        <v>0</v>
      </c>
      <c r="P1195" s="587">
        <f t="shared" si="98"/>
        <v>0</v>
      </c>
    </row>
    <row r="1196" spans="2:16">
      <c r="B1196" s="587" t="s">
        <v>868</v>
      </c>
      <c r="C1196" s="587" t="s">
        <v>869</v>
      </c>
      <c r="D1196" s="587" t="s">
        <v>872</v>
      </c>
      <c r="E1196" s="587"/>
      <c r="F1196" s="587" t="str">
        <f t="shared" si="95"/>
        <v>Vélo personnel (y compris vélo à assistance électrique)</v>
      </c>
      <c r="G1196" s="587">
        <f t="shared" si="96"/>
        <v>7</v>
      </c>
      <c r="H1196" s="587"/>
      <c r="I1196" s="587">
        <v>5</v>
      </c>
      <c r="J1196" s="587">
        <f t="shared" si="97"/>
        <v>0</v>
      </c>
      <c r="K1196" s="587"/>
      <c r="L1196" s="587"/>
      <c r="M1196" s="587">
        <f t="shared" si="98"/>
        <v>7</v>
      </c>
      <c r="N1196" s="587">
        <f t="shared" si="98"/>
        <v>0</v>
      </c>
      <c r="O1196" s="587">
        <f t="shared" si="98"/>
        <v>0</v>
      </c>
      <c r="P1196" s="587">
        <f t="shared" si="98"/>
        <v>0</v>
      </c>
    </row>
    <row r="1197" spans="2:16">
      <c r="B1197" s="587" t="s">
        <v>868</v>
      </c>
      <c r="C1197" s="587" t="s">
        <v>869</v>
      </c>
      <c r="D1197" s="587" t="s">
        <v>848</v>
      </c>
      <c r="E1197" s="587"/>
      <c r="F1197" s="587" t="str">
        <f t="shared" si="95"/>
        <v>Bus</v>
      </c>
      <c r="G1197" s="587">
        <f t="shared" si="96"/>
        <v>2</v>
      </c>
      <c r="H1197" s="587"/>
      <c r="I1197" s="587">
        <v>20</v>
      </c>
      <c r="J1197" s="587">
        <f t="shared" si="97"/>
        <v>1.29</v>
      </c>
      <c r="K1197" s="587"/>
      <c r="L1197" s="587"/>
      <c r="M1197" s="587">
        <f t="shared" si="98"/>
        <v>2</v>
      </c>
      <c r="N1197" s="587">
        <f t="shared" si="98"/>
        <v>0</v>
      </c>
      <c r="O1197" s="587">
        <f t="shared" si="98"/>
        <v>0</v>
      </c>
      <c r="P1197" s="587">
        <f t="shared" si="98"/>
        <v>0</v>
      </c>
    </row>
    <row r="1198" spans="2:16">
      <c r="B1198" s="587" t="s">
        <v>868</v>
      </c>
      <c r="C1198" s="587" t="s">
        <v>869</v>
      </c>
      <c r="D1198" s="587" t="s">
        <v>871</v>
      </c>
      <c r="E1198" s="587"/>
      <c r="F1198" s="587" t="str">
        <f t="shared" si="95"/>
        <v>Marche à pied (exclusivement sur tout le trajet)</v>
      </c>
      <c r="G1198" s="587">
        <f t="shared" si="96"/>
        <v>7</v>
      </c>
      <c r="H1198" s="587"/>
      <c r="I1198" s="587">
        <v>5</v>
      </c>
      <c r="J1198" s="587">
        <f t="shared" si="97"/>
        <v>0</v>
      </c>
      <c r="K1198" s="587"/>
      <c r="L1198" s="587"/>
      <c r="M1198" s="587">
        <f t="shared" si="98"/>
        <v>7</v>
      </c>
      <c r="N1198" s="587">
        <f t="shared" si="98"/>
        <v>0</v>
      </c>
      <c r="O1198" s="587">
        <f t="shared" si="98"/>
        <v>0</v>
      </c>
      <c r="P1198" s="587">
        <f t="shared" si="98"/>
        <v>0</v>
      </c>
    </row>
    <row r="1199" spans="2:16">
      <c r="B1199" s="587" t="s">
        <v>868</v>
      </c>
      <c r="C1199" s="587" t="s">
        <v>869</v>
      </c>
      <c r="D1199" s="587" t="s">
        <v>870</v>
      </c>
      <c r="E1199" s="587"/>
      <c r="F1199" s="587" t="str">
        <f t="shared" si="95"/>
        <v>Métro</v>
      </c>
      <c r="G1199" s="587">
        <f t="shared" si="96"/>
        <v>1</v>
      </c>
      <c r="H1199" s="587"/>
      <c r="I1199" s="587">
        <v>30</v>
      </c>
      <c r="J1199" s="587">
        <f t="shared" si="97"/>
        <v>4.8833333333333326E-2</v>
      </c>
      <c r="K1199" s="587"/>
      <c r="L1199" s="587"/>
      <c r="M1199" s="587">
        <f t="shared" si="98"/>
        <v>1</v>
      </c>
      <c r="N1199" s="587">
        <f t="shared" si="98"/>
        <v>0</v>
      </c>
      <c r="O1199" s="587">
        <f t="shared" si="98"/>
        <v>0</v>
      </c>
      <c r="P1199" s="587">
        <f t="shared" si="98"/>
        <v>0</v>
      </c>
    </row>
    <row r="1200" spans="2:16">
      <c r="B1200" s="587" t="s">
        <v>868</v>
      </c>
      <c r="C1200" s="587" t="s">
        <v>869</v>
      </c>
      <c r="D1200" s="587" t="s">
        <v>871</v>
      </c>
      <c r="E1200" s="587"/>
      <c r="F1200" s="587" t="str">
        <f t="shared" si="95"/>
        <v>Marche à pied (exclusivement sur tout le trajet)</v>
      </c>
      <c r="G1200" s="587">
        <f t="shared" si="96"/>
        <v>7</v>
      </c>
      <c r="H1200" s="587"/>
      <c r="I1200" s="587">
        <v>5</v>
      </c>
      <c r="J1200" s="587">
        <f t="shared" si="97"/>
        <v>0</v>
      </c>
      <c r="K1200" s="587"/>
      <c r="L1200" s="587"/>
      <c r="M1200" s="587">
        <f t="shared" si="98"/>
        <v>7</v>
      </c>
      <c r="N1200" s="587">
        <f t="shared" si="98"/>
        <v>0</v>
      </c>
      <c r="O1200" s="587">
        <f t="shared" si="98"/>
        <v>0</v>
      </c>
      <c r="P1200" s="587">
        <f t="shared" si="98"/>
        <v>0</v>
      </c>
    </row>
    <row r="1201" spans="2:16">
      <c r="B1201" s="587" t="s">
        <v>868</v>
      </c>
      <c r="C1201" s="587" t="s">
        <v>869</v>
      </c>
      <c r="D1201" s="587" t="s">
        <v>872</v>
      </c>
      <c r="E1201" s="587"/>
      <c r="F1201" s="587" t="str">
        <f t="shared" si="95"/>
        <v>Vélo personnel (y compris vélo à assistance électrique)</v>
      </c>
      <c r="G1201" s="587">
        <f t="shared" si="96"/>
        <v>7</v>
      </c>
      <c r="H1201" s="587"/>
      <c r="I1201" s="587">
        <v>10</v>
      </c>
      <c r="J1201" s="587">
        <f t="shared" si="97"/>
        <v>0</v>
      </c>
      <c r="K1201" s="587"/>
      <c r="L1201" s="587"/>
      <c r="M1201" s="587">
        <f t="shared" si="98"/>
        <v>7</v>
      </c>
      <c r="N1201" s="587">
        <f t="shared" si="98"/>
        <v>0</v>
      </c>
      <c r="O1201" s="587">
        <f t="shared" si="98"/>
        <v>0</v>
      </c>
      <c r="P1201" s="587">
        <f t="shared" si="98"/>
        <v>0</v>
      </c>
    </row>
    <row r="1202" spans="2:16">
      <c r="B1202" s="587" t="s">
        <v>868</v>
      </c>
      <c r="C1202" s="587" t="s">
        <v>869</v>
      </c>
      <c r="D1202" s="587"/>
      <c r="E1202" s="587" t="s">
        <v>873</v>
      </c>
      <c r="F1202" s="587" t="str">
        <f t="shared" si="95"/>
        <v>Tramway</v>
      </c>
      <c r="G1202" s="587">
        <f t="shared" si="96"/>
        <v>1</v>
      </c>
      <c r="H1202" s="587"/>
      <c r="I1202" s="587">
        <v>20</v>
      </c>
      <c r="J1202" s="587">
        <f t="shared" si="97"/>
        <v>4.8833333333333326E-2</v>
      </c>
      <c r="K1202" s="587"/>
      <c r="L1202" s="587"/>
      <c r="M1202" s="587">
        <f t="shared" si="98"/>
        <v>1</v>
      </c>
      <c r="N1202" s="587">
        <f t="shared" si="98"/>
        <v>0</v>
      </c>
      <c r="O1202" s="587">
        <f t="shared" si="98"/>
        <v>0</v>
      </c>
      <c r="P1202" s="587">
        <f t="shared" si="98"/>
        <v>0</v>
      </c>
    </row>
    <row r="1203" spans="2:16">
      <c r="B1203" s="587" t="s">
        <v>868</v>
      </c>
      <c r="C1203" s="587" t="s">
        <v>869</v>
      </c>
      <c r="D1203" s="587" t="s">
        <v>848</v>
      </c>
      <c r="E1203" s="587"/>
      <c r="F1203" s="587" t="str">
        <f t="shared" si="95"/>
        <v>Bus</v>
      </c>
      <c r="G1203" s="587">
        <f t="shared" si="96"/>
        <v>2</v>
      </c>
      <c r="H1203" s="587"/>
      <c r="I1203" s="587">
        <v>15</v>
      </c>
      <c r="J1203" s="587">
        <f t="shared" si="97"/>
        <v>1.29</v>
      </c>
      <c r="K1203" s="587"/>
      <c r="L1203" s="587"/>
      <c r="M1203" s="587">
        <f t="shared" si="98"/>
        <v>2</v>
      </c>
      <c r="N1203" s="587">
        <f t="shared" si="98"/>
        <v>0</v>
      </c>
      <c r="O1203" s="587">
        <f t="shared" si="98"/>
        <v>0</v>
      </c>
      <c r="P1203" s="587">
        <f t="shared" si="98"/>
        <v>0</v>
      </c>
    </row>
    <row r="1204" spans="2:16">
      <c r="B1204" s="587" t="s">
        <v>868</v>
      </c>
      <c r="C1204" s="587" t="s">
        <v>869</v>
      </c>
      <c r="D1204" s="587" t="s">
        <v>871</v>
      </c>
      <c r="E1204" s="587"/>
      <c r="F1204" s="587" t="str">
        <f t="shared" si="95"/>
        <v>Marche à pied (exclusivement sur tout le trajet)</v>
      </c>
      <c r="G1204" s="587">
        <f t="shared" si="96"/>
        <v>7</v>
      </c>
      <c r="H1204" s="587"/>
      <c r="I1204" s="587">
        <v>1</v>
      </c>
      <c r="J1204" s="587">
        <f t="shared" si="97"/>
        <v>0</v>
      </c>
      <c r="K1204" s="587"/>
      <c r="L1204" s="587"/>
      <c r="M1204" s="587">
        <f t="shared" si="98"/>
        <v>7</v>
      </c>
      <c r="N1204" s="587">
        <f t="shared" si="98"/>
        <v>0</v>
      </c>
      <c r="O1204" s="587">
        <f t="shared" si="98"/>
        <v>0</v>
      </c>
      <c r="P1204" s="587">
        <f t="shared" si="98"/>
        <v>0</v>
      </c>
    </row>
    <row r="1205" spans="2:16">
      <c r="B1205" s="587" t="s">
        <v>868</v>
      </c>
      <c r="C1205" s="587" t="s">
        <v>869</v>
      </c>
      <c r="D1205" s="587" t="s">
        <v>871</v>
      </c>
      <c r="E1205" s="587"/>
      <c r="F1205" s="587" t="str">
        <f t="shared" si="95"/>
        <v>Marche à pied (exclusivement sur tout le trajet)</v>
      </c>
      <c r="G1205" s="587">
        <f t="shared" si="96"/>
        <v>7</v>
      </c>
      <c r="H1205" s="587"/>
      <c r="I1205" s="587">
        <v>5</v>
      </c>
      <c r="J1205" s="587">
        <f t="shared" si="97"/>
        <v>0</v>
      </c>
      <c r="K1205" s="587"/>
      <c r="L1205" s="587"/>
      <c r="M1205" s="587">
        <f t="shared" si="98"/>
        <v>7</v>
      </c>
      <c r="N1205" s="587">
        <f t="shared" si="98"/>
        <v>0</v>
      </c>
      <c r="O1205" s="587">
        <f t="shared" si="98"/>
        <v>0</v>
      </c>
      <c r="P1205" s="587">
        <f t="shared" si="98"/>
        <v>0</v>
      </c>
    </row>
    <row r="1206" spans="2:16">
      <c r="B1206" s="587" t="s">
        <v>868</v>
      </c>
      <c r="C1206" s="587" t="s">
        <v>869</v>
      </c>
      <c r="D1206" s="587"/>
      <c r="E1206" s="587" t="s">
        <v>870</v>
      </c>
      <c r="F1206" s="587" t="str">
        <f t="shared" si="95"/>
        <v>Métro</v>
      </c>
      <c r="G1206" s="587">
        <f t="shared" si="96"/>
        <v>1</v>
      </c>
      <c r="H1206" s="587"/>
      <c r="I1206" s="587">
        <v>30</v>
      </c>
      <c r="J1206" s="587">
        <f t="shared" si="97"/>
        <v>4.8833333333333326E-2</v>
      </c>
      <c r="K1206" s="587"/>
      <c r="L1206" s="587"/>
      <c r="M1206" s="587">
        <f t="shared" si="98"/>
        <v>1</v>
      </c>
      <c r="N1206" s="587">
        <f t="shared" si="98"/>
        <v>0</v>
      </c>
      <c r="O1206" s="587">
        <f t="shared" si="98"/>
        <v>0</v>
      </c>
      <c r="P1206" s="587">
        <f t="shared" si="98"/>
        <v>0</v>
      </c>
    </row>
    <row r="1207" spans="2:16">
      <c r="B1207" s="587" t="s">
        <v>868</v>
      </c>
      <c r="C1207" s="587" t="s">
        <v>869</v>
      </c>
      <c r="D1207" s="587" t="s">
        <v>871</v>
      </c>
      <c r="E1207" s="587"/>
      <c r="F1207" s="587" t="str">
        <f t="shared" si="95"/>
        <v>Marche à pied (exclusivement sur tout le trajet)</v>
      </c>
      <c r="G1207" s="587">
        <f t="shared" si="96"/>
        <v>7</v>
      </c>
      <c r="H1207" s="587"/>
      <c r="I1207" s="587">
        <v>10</v>
      </c>
      <c r="J1207" s="587">
        <f t="shared" si="97"/>
        <v>0</v>
      </c>
      <c r="K1207" s="587"/>
      <c r="L1207" s="587"/>
      <c r="M1207" s="587">
        <f t="shared" si="98"/>
        <v>7</v>
      </c>
      <c r="N1207" s="587">
        <f t="shared" si="98"/>
        <v>0</v>
      </c>
      <c r="O1207" s="587">
        <f t="shared" si="98"/>
        <v>0</v>
      </c>
      <c r="P1207" s="587">
        <f t="shared" si="98"/>
        <v>0</v>
      </c>
    </row>
    <row r="1208" spans="2:16">
      <c r="B1208" s="587" t="s">
        <v>868</v>
      </c>
      <c r="C1208" s="587" t="s">
        <v>869</v>
      </c>
      <c r="D1208" s="587" t="s">
        <v>871</v>
      </c>
      <c r="E1208" s="587"/>
      <c r="F1208" s="587" t="str">
        <f t="shared" si="95"/>
        <v>Marche à pied (exclusivement sur tout le trajet)</v>
      </c>
      <c r="G1208" s="587">
        <f t="shared" si="96"/>
        <v>7</v>
      </c>
      <c r="H1208" s="587"/>
      <c r="I1208" s="587">
        <v>2</v>
      </c>
      <c r="J1208" s="587">
        <f t="shared" si="97"/>
        <v>0</v>
      </c>
      <c r="K1208" s="587"/>
      <c r="L1208" s="587"/>
      <c r="M1208" s="587">
        <f t="shared" si="98"/>
        <v>7</v>
      </c>
      <c r="N1208" s="587">
        <f t="shared" si="98"/>
        <v>0</v>
      </c>
      <c r="O1208" s="587">
        <f t="shared" si="98"/>
        <v>0</v>
      </c>
      <c r="P1208" s="587">
        <f t="shared" si="98"/>
        <v>0</v>
      </c>
    </row>
    <row r="1209" spans="2:16">
      <c r="B1209" s="587" t="s">
        <v>868</v>
      </c>
      <c r="C1209" s="587" t="s">
        <v>869</v>
      </c>
      <c r="D1209" s="587" t="s">
        <v>871</v>
      </c>
      <c r="E1209" s="587"/>
      <c r="F1209" s="587" t="str">
        <f t="shared" si="95"/>
        <v>Marche à pied (exclusivement sur tout le trajet)</v>
      </c>
      <c r="G1209" s="587">
        <f t="shared" si="96"/>
        <v>7</v>
      </c>
      <c r="H1209" s="587"/>
      <c r="I1209" s="587">
        <v>15</v>
      </c>
      <c r="J1209" s="587">
        <f t="shared" si="97"/>
        <v>0</v>
      </c>
      <c r="K1209" s="587"/>
      <c r="L1209" s="587"/>
      <c r="M1209" s="587">
        <f t="shared" si="98"/>
        <v>7</v>
      </c>
      <c r="N1209" s="587">
        <f t="shared" si="98"/>
        <v>0</v>
      </c>
      <c r="O1209" s="587">
        <f t="shared" si="98"/>
        <v>0</v>
      </c>
      <c r="P1209" s="587">
        <f t="shared" si="98"/>
        <v>0</v>
      </c>
    </row>
    <row r="1210" spans="2:16">
      <c r="B1210" s="587" t="s">
        <v>868</v>
      </c>
      <c r="C1210" s="587" t="s">
        <v>869</v>
      </c>
      <c r="D1210" s="587"/>
      <c r="E1210" s="587" t="s">
        <v>878</v>
      </c>
      <c r="F1210" s="587" t="str">
        <f t="shared" si="95"/>
        <v>Marche à pied au-delà de 5 minutes</v>
      </c>
      <c r="G1210" s="587">
        <f t="shared" si="96"/>
        <v>7</v>
      </c>
      <c r="H1210" s="587"/>
      <c r="I1210" s="587">
        <v>10</v>
      </c>
      <c r="J1210" s="587">
        <f t="shared" si="97"/>
        <v>0</v>
      </c>
      <c r="K1210" s="587"/>
      <c r="L1210" s="587"/>
      <c r="M1210" s="587">
        <f t="shared" si="98"/>
        <v>7</v>
      </c>
      <c r="N1210" s="587">
        <f t="shared" si="98"/>
        <v>0</v>
      </c>
      <c r="O1210" s="587">
        <f t="shared" si="98"/>
        <v>0</v>
      </c>
      <c r="P1210" s="587">
        <f t="shared" si="98"/>
        <v>0</v>
      </c>
    </row>
    <row r="1211" spans="2:16">
      <c r="B1211" s="587" t="s">
        <v>868</v>
      </c>
      <c r="C1211" s="587" t="s">
        <v>869</v>
      </c>
      <c r="D1211" s="587" t="s">
        <v>872</v>
      </c>
      <c r="E1211" s="587"/>
      <c r="F1211" s="587" t="str">
        <f t="shared" si="95"/>
        <v>Vélo personnel (y compris vélo à assistance électrique)</v>
      </c>
      <c r="G1211" s="587">
        <f t="shared" si="96"/>
        <v>7</v>
      </c>
      <c r="H1211" s="587"/>
      <c r="I1211" s="587">
        <v>7</v>
      </c>
      <c r="J1211" s="587">
        <f t="shared" si="97"/>
        <v>0</v>
      </c>
      <c r="K1211" s="587"/>
      <c r="L1211" s="587"/>
      <c r="M1211" s="587">
        <f t="shared" si="98"/>
        <v>7</v>
      </c>
      <c r="N1211" s="587">
        <f t="shared" si="98"/>
        <v>0</v>
      </c>
      <c r="O1211" s="587">
        <f t="shared" si="98"/>
        <v>0</v>
      </c>
      <c r="P1211" s="587">
        <f t="shared" si="98"/>
        <v>0</v>
      </c>
    </row>
    <row r="1212" spans="2:16">
      <c r="B1212" s="587" t="s">
        <v>868</v>
      </c>
      <c r="C1212" s="587" t="s">
        <v>869</v>
      </c>
      <c r="D1212" s="587" t="s">
        <v>872</v>
      </c>
      <c r="E1212" s="587"/>
      <c r="F1212" s="587" t="str">
        <f t="shared" ref="F1212:F1275" si="99">IF(D1212="",E1212,D1212)</f>
        <v>Vélo personnel (y compris vélo à assistance électrique)</v>
      </c>
      <c r="G1212" s="587">
        <f t="shared" ref="G1212:G1275" si="100">IF(F1212="Métro",1,IF(F1212="Tramway",1,IF(F1212="Vélo'v",7,IF(F1212="Marche à pied (exclusivement sur tout le trajet)",7,IF(F1212="Vélo personnel (y compris vélo à assistance électrique)",7,IF(F1212="Trottinette, roller, skateboard,…",7,IF(F1212="Marche à pied au-delà de 5 minutes",7,IF(F1212="Voiture (seul(e))",3,IF(F1212="Bus",2,IF(F1212="Trottinette, roller, skateboard au-delà de 5 minutes",7,IF(F1212="Covoiturage (passager(ère))",4,IF(F1212="Trottinette, roller, skateboard,...",7,IF(F1212="Vélo’v",7,IF(F1212="Train (TER,TGV,...)",6,IF(F1212="Deux roues motorisées (moto, scooter, mobylette,…)",5,IF(F1212="Covoiturage (conducteur(trice))",4,IF(F1212="Train (TER,..)",6,0)))))))))))))))))</f>
        <v>7</v>
      </c>
      <c r="H1212" s="587"/>
      <c r="I1212" s="587">
        <v>15</v>
      </c>
      <c r="J1212" s="587">
        <f t="shared" ref="J1212:J1275" si="101">IF(G1212=1,$C$6*($I$28*$K$6)/$J$6,IF(G1212=2,$C$7*($I$28*$K$7)/$J$7,IF(G1212=3,$C$8*$I$28*$K$8/$J$8,IF(G1212=4,$C$9*$I$28*$K$9/$J$9,IF(G1212=5,$C$10*$I$28*$K$10/$J$10,IF(G1212=6,$C$11*$K$11*$I$28/$J$11,0))))))</f>
        <v>0</v>
      </c>
      <c r="K1212" s="587"/>
      <c r="L1212" s="587"/>
      <c r="M1212" s="587">
        <f t="shared" si="98"/>
        <v>7</v>
      </c>
      <c r="N1212" s="587">
        <f t="shared" si="98"/>
        <v>0</v>
      </c>
      <c r="O1212" s="587">
        <f t="shared" si="98"/>
        <v>0</v>
      </c>
      <c r="P1212" s="587">
        <f t="shared" si="98"/>
        <v>0</v>
      </c>
    </row>
    <row r="1213" spans="2:16">
      <c r="B1213" s="587" t="s">
        <v>868</v>
      </c>
      <c r="C1213" s="587" t="s">
        <v>869</v>
      </c>
      <c r="D1213" s="587" t="s">
        <v>871</v>
      </c>
      <c r="E1213" s="587"/>
      <c r="F1213" s="587" t="str">
        <f t="shared" si="99"/>
        <v>Marche à pied (exclusivement sur tout le trajet)</v>
      </c>
      <c r="G1213" s="587">
        <f t="shared" si="100"/>
        <v>7</v>
      </c>
      <c r="H1213" s="587"/>
      <c r="I1213" s="587">
        <v>10</v>
      </c>
      <c r="J1213" s="587">
        <f t="shared" si="101"/>
        <v>0</v>
      </c>
      <c r="K1213" s="587"/>
      <c r="L1213" s="587"/>
      <c r="M1213" s="587">
        <f t="shared" si="98"/>
        <v>7</v>
      </c>
      <c r="N1213" s="587">
        <f t="shared" si="98"/>
        <v>0</v>
      </c>
      <c r="O1213" s="587">
        <f t="shared" si="98"/>
        <v>0</v>
      </c>
      <c r="P1213" s="587">
        <f t="shared" si="98"/>
        <v>0</v>
      </c>
    </row>
    <row r="1214" spans="2:16">
      <c r="B1214" s="587" t="s">
        <v>868</v>
      </c>
      <c r="C1214" s="587" t="s">
        <v>869</v>
      </c>
      <c r="D1214" s="587" t="s">
        <v>872</v>
      </c>
      <c r="E1214" s="587"/>
      <c r="F1214" s="587" t="str">
        <f t="shared" si="99"/>
        <v>Vélo personnel (y compris vélo à assistance électrique)</v>
      </c>
      <c r="G1214" s="587">
        <f t="shared" si="100"/>
        <v>7</v>
      </c>
      <c r="H1214" s="587"/>
      <c r="I1214" s="587">
        <v>10</v>
      </c>
      <c r="J1214" s="587">
        <f t="shared" si="101"/>
        <v>0</v>
      </c>
      <c r="K1214" s="587"/>
      <c r="L1214" s="587"/>
      <c r="M1214" s="587">
        <f t="shared" si="98"/>
        <v>7</v>
      </c>
      <c r="N1214" s="587">
        <f t="shared" si="98"/>
        <v>0</v>
      </c>
      <c r="O1214" s="587">
        <f t="shared" si="98"/>
        <v>0</v>
      </c>
      <c r="P1214" s="587">
        <f t="shared" si="98"/>
        <v>0</v>
      </c>
    </row>
    <row r="1215" spans="2:16">
      <c r="B1215" s="587" t="s">
        <v>868</v>
      </c>
      <c r="C1215" s="587" t="s">
        <v>35</v>
      </c>
      <c r="D1215" s="587" t="s">
        <v>877</v>
      </c>
      <c r="E1215" s="587"/>
      <c r="F1215" s="587" t="str">
        <f t="shared" si="99"/>
        <v>Vélo’v</v>
      </c>
      <c r="G1215" s="587">
        <f t="shared" si="100"/>
        <v>7</v>
      </c>
      <c r="H1215" s="587"/>
      <c r="I1215" s="587">
        <v>15</v>
      </c>
      <c r="J1215" s="587">
        <f t="shared" si="101"/>
        <v>0</v>
      </c>
      <c r="K1215" s="587"/>
      <c r="L1215" s="587"/>
      <c r="M1215" s="587">
        <f t="shared" si="98"/>
        <v>0</v>
      </c>
      <c r="N1215" s="587">
        <f t="shared" si="98"/>
        <v>0</v>
      </c>
      <c r="O1215" s="587">
        <f t="shared" si="98"/>
        <v>0</v>
      </c>
      <c r="P1215" s="587">
        <f t="shared" si="98"/>
        <v>7</v>
      </c>
    </row>
    <row r="1216" spans="2:16">
      <c r="B1216" s="587" t="s">
        <v>868</v>
      </c>
      <c r="C1216" s="587" t="s">
        <v>869</v>
      </c>
      <c r="D1216" s="587"/>
      <c r="E1216" s="587" t="s">
        <v>878</v>
      </c>
      <c r="F1216" s="587" t="str">
        <f t="shared" si="99"/>
        <v>Marche à pied au-delà de 5 minutes</v>
      </c>
      <c r="G1216" s="587">
        <f t="shared" si="100"/>
        <v>7</v>
      </c>
      <c r="H1216" s="587"/>
      <c r="I1216" s="587">
        <v>15</v>
      </c>
      <c r="J1216" s="587">
        <f t="shared" si="101"/>
        <v>0</v>
      </c>
      <c r="K1216" s="587"/>
      <c r="L1216" s="587"/>
      <c r="M1216" s="587">
        <f t="shared" si="98"/>
        <v>7</v>
      </c>
      <c r="N1216" s="587">
        <f t="shared" si="98"/>
        <v>0</v>
      </c>
      <c r="O1216" s="587">
        <f t="shared" si="98"/>
        <v>0</v>
      </c>
      <c r="P1216" s="587">
        <f t="shared" si="98"/>
        <v>0</v>
      </c>
    </row>
    <row r="1217" spans="2:16">
      <c r="B1217" s="587" t="s">
        <v>868</v>
      </c>
      <c r="C1217" s="587" t="s">
        <v>869</v>
      </c>
      <c r="D1217" s="587" t="s">
        <v>871</v>
      </c>
      <c r="E1217" s="587"/>
      <c r="F1217" s="587" t="str">
        <f t="shared" si="99"/>
        <v>Marche à pied (exclusivement sur tout le trajet)</v>
      </c>
      <c r="G1217" s="587">
        <f t="shared" si="100"/>
        <v>7</v>
      </c>
      <c r="H1217" s="587"/>
      <c r="I1217" s="587">
        <v>10</v>
      </c>
      <c r="J1217" s="587">
        <f t="shared" si="101"/>
        <v>0</v>
      </c>
      <c r="K1217" s="587"/>
      <c r="L1217" s="587"/>
      <c r="M1217" s="587">
        <f t="shared" si="98"/>
        <v>7</v>
      </c>
      <c r="N1217" s="587">
        <f t="shared" si="98"/>
        <v>0</v>
      </c>
      <c r="O1217" s="587">
        <f t="shared" si="98"/>
        <v>0</v>
      </c>
      <c r="P1217" s="587">
        <f t="shared" si="98"/>
        <v>0</v>
      </c>
    </row>
    <row r="1218" spans="2:16">
      <c r="B1218" s="587" t="s">
        <v>868</v>
      </c>
      <c r="C1218" s="587" t="s">
        <v>869</v>
      </c>
      <c r="D1218" s="587" t="s">
        <v>871</v>
      </c>
      <c r="E1218" s="587"/>
      <c r="F1218" s="587" t="str">
        <f t="shared" si="99"/>
        <v>Marche à pied (exclusivement sur tout le trajet)</v>
      </c>
      <c r="G1218" s="587">
        <f t="shared" si="100"/>
        <v>7</v>
      </c>
      <c r="H1218" s="587"/>
      <c r="I1218" s="587">
        <v>10</v>
      </c>
      <c r="J1218" s="587">
        <f t="shared" si="101"/>
        <v>0</v>
      </c>
      <c r="K1218" s="587"/>
      <c r="L1218" s="587"/>
      <c r="M1218" s="587">
        <f t="shared" si="98"/>
        <v>7</v>
      </c>
      <c r="N1218" s="587">
        <f t="shared" si="98"/>
        <v>0</v>
      </c>
      <c r="O1218" s="587">
        <f t="shared" si="98"/>
        <v>0</v>
      </c>
      <c r="P1218" s="587">
        <f t="shared" si="98"/>
        <v>0</v>
      </c>
    </row>
    <row r="1219" spans="2:16">
      <c r="B1219" s="587" t="s">
        <v>868</v>
      </c>
      <c r="C1219" s="587" t="s">
        <v>869</v>
      </c>
      <c r="D1219" s="587" t="s">
        <v>871</v>
      </c>
      <c r="E1219" s="587"/>
      <c r="F1219" s="587" t="str">
        <f t="shared" si="99"/>
        <v>Marche à pied (exclusivement sur tout le trajet)</v>
      </c>
      <c r="G1219" s="587">
        <f t="shared" si="100"/>
        <v>7</v>
      </c>
      <c r="H1219" s="587"/>
      <c r="I1219" s="587">
        <v>15</v>
      </c>
      <c r="J1219" s="587">
        <f t="shared" si="101"/>
        <v>0</v>
      </c>
      <c r="K1219" s="587"/>
      <c r="L1219" s="587"/>
      <c r="M1219" s="587">
        <f t="shared" si="98"/>
        <v>7</v>
      </c>
      <c r="N1219" s="587">
        <f t="shared" si="98"/>
        <v>0</v>
      </c>
      <c r="O1219" s="587">
        <f t="shared" si="98"/>
        <v>0</v>
      </c>
      <c r="P1219" s="587">
        <f t="shared" si="98"/>
        <v>0</v>
      </c>
    </row>
    <row r="1220" spans="2:16">
      <c r="B1220" s="587" t="s">
        <v>868</v>
      </c>
      <c r="C1220" s="587" t="s">
        <v>869</v>
      </c>
      <c r="D1220" s="587" t="s">
        <v>872</v>
      </c>
      <c r="E1220" s="587"/>
      <c r="F1220" s="587" t="str">
        <f t="shared" si="99"/>
        <v>Vélo personnel (y compris vélo à assistance électrique)</v>
      </c>
      <c r="G1220" s="587">
        <f t="shared" si="100"/>
        <v>7</v>
      </c>
      <c r="H1220" s="587"/>
      <c r="I1220" s="587">
        <v>5</v>
      </c>
      <c r="J1220" s="587">
        <f t="shared" si="101"/>
        <v>0</v>
      </c>
      <c r="K1220" s="587"/>
      <c r="L1220" s="587"/>
      <c r="M1220" s="587">
        <f t="shared" si="98"/>
        <v>7</v>
      </c>
      <c r="N1220" s="587">
        <f t="shared" si="98"/>
        <v>0</v>
      </c>
      <c r="O1220" s="587">
        <f t="shared" si="98"/>
        <v>0</v>
      </c>
      <c r="P1220" s="587">
        <f t="shared" si="98"/>
        <v>0</v>
      </c>
    </row>
    <row r="1221" spans="2:16">
      <c r="B1221" s="587" t="s">
        <v>868</v>
      </c>
      <c r="C1221" s="587" t="s">
        <v>869</v>
      </c>
      <c r="D1221" s="587" t="s">
        <v>873</v>
      </c>
      <c r="E1221" s="587"/>
      <c r="F1221" s="587" t="str">
        <f t="shared" si="99"/>
        <v>Tramway</v>
      </c>
      <c r="G1221" s="587">
        <f t="shared" si="100"/>
        <v>1</v>
      </c>
      <c r="H1221" s="587"/>
      <c r="I1221" s="587">
        <v>15</v>
      </c>
      <c r="J1221" s="587">
        <f t="shared" si="101"/>
        <v>4.8833333333333326E-2</v>
      </c>
      <c r="K1221" s="587"/>
      <c r="L1221" s="587"/>
      <c r="M1221" s="587">
        <f t="shared" si="98"/>
        <v>1</v>
      </c>
      <c r="N1221" s="587">
        <f t="shared" si="98"/>
        <v>0</v>
      </c>
      <c r="O1221" s="587">
        <f t="shared" si="98"/>
        <v>0</v>
      </c>
      <c r="P1221" s="587">
        <f t="shared" si="98"/>
        <v>0</v>
      </c>
    </row>
    <row r="1222" spans="2:16">
      <c r="B1222" s="587" t="s">
        <v>868</v>
      </c>
      <c r="C1222" s="587" t="s">
        <v>869</v>
      </c>
      <c r="D1222" s="587" t="s">
        <v>871</v>
      </c>
      <c r="E1222" s="587"/>
      <c r="F1222" s="587" t="str">
        <f t="shared" si="99"/>
        <v>Marche à pied (exclusivement sur tout le trajet)</v>
      </c>
      <c r="G1222" s="587">
        <f t="shared" si="100"/>
        <v>7</v>
      </c>
      <c r="H1222" s="587"/>
      <c r="I1222" s="587">
        <v>2</v>
      </c>
      <c r="J1222" s="587">
        <f t="shared" si="101"/>
        <v>0</v>
      </c>
      <c r="K1222" s="587"/>
      <c r="L1222" s="587"/>
      <c r="M1222" s="587">
        <f t="shared" si="98"/>
        <v>7</v>
      </c>
      <c r="N1222" s="587">
        <f t="shared" si="98"/>
        <v>0</v>
      </c>
      <c r="O1222" s="587">
        <f t="shared" si="98"/>
        <v>0</v>
      </c>
      <c r="P1222" s="587">
        <f t="shared" si="98"/>
        <v>0</v>
      </c>
    </row>
    <row r="1223" spans="2:16">
      <c r="B1223" s="587" t="s">
        <v>868</v>
      </c>
      <c r="C1223" s="587" t="s">
        <v>869</v>
      </c>
      <c r="D1223" s="587" t="s">
        <v>876</v>
      </c>
      <c r="E1223" s="587"/>
      <c r="F1223" s="587" t="str">
        <f t="shared" si="99"/>
        <v>Trottinette, roller, skateboard,...</v>
      </c>
      <c r="G1223" s="587">
        <f t="shared" si="100"/>
        <v>7</v>
      </c>
      <c r="H1223" s="587"/>
      <c r="I1223" s="587">
        <v>5</v>
      </c>
      <c r="J1223" s="587">
        <f t="shared" si="101"/>
        <v>0</v>
      </c>
      <c r="K1223" s="587"/>
      <c r="L1223" s="587"/>
      <c r="M1223" s="587">
        <f t="shared" si="98"/>
        <v>7</v>
      </c>
      <c r="N1223" s="587">
        <f t="shared" si="98"/>
        <v>0</v>
      </c>
      <c r="O1223" s="587">
        <f t="shared" si="98"/>
        <v>0</v>
      </c>
      <c r="P1223" s="587">
        <f t="shared" si="98"/>
        <v>0</v>
      </c>
    </row>
    <row r="1224" spans="2:16">
      <c r="B1224" s="587" t="s">
        <v>868</v>
      </c>
      <c r="C1224" s="587" t="s">
        <v>869</v>
      </c>
      <c r="D1224" s="587" t="s">
        <v>872</v>
      </c>
      <c r="E1224" s="587"/>
      <c r="F1224" s="587" t="str">
        <f t="shared" si="99"/>
        <v>Vélo personnel (y compris vélo à assistance électrique)</v>
      </c>
      <c r="G1224" s="587">
        <f t="shared" si="100"/>
        <v>7</v>
      </c>
      <c r="H1224" s="587"/>
      <c r="I1224" s="587">
        <v>15</v>
      </c>
      <c r="J1224" s="587">
        <f t="shared" si="101"/>
        <v>0</v>
      </c>
      <c r="K1224" s="587"/>
      <c r="L1224" s="587"/>
      <c r="M1224" s="587">
        <f t="shared" si="98"/>
        <v>7</v>
      </c>
      <c r="N1224" s="587">
        <f t="shared" si="98"/>
        <v>0</v>
      </c>
      <c r="O1224" s="587">
        <f t="shared" si="98"/>
        <v>0</v>
      </c>
      <c r="P1224" s="587">
        <f t="shared" si="98"/>
        <v>0</v>
      </c>
    </row>
    <row r="1225" spans="2:16">
      <c r="B1225" s="587" t="s">
        <v>868</v>
      </c>
      <c r="C1225" s="587" t="s">
        <v>869</v>
      </c>
      <c r="D1225" s="587"/>
      <c r="E1225" s="587" t="s">
        <v>873</v>
      </c>
      <c r="F1225" s="587" t="str">
        <f t="shared" si="99"/>
        <v>Tramway</v>
      </c>
      <c r="G1225" s="587">
        <f t="shared" si="100"/>
        <v>1</v>
      </c>
      <c r="H1225" s="587"/>
      <c r="I1225" s="587">
        <v>60</v>
      </c>
      <c r="J1225" s="587">
        <f t="shared" si="101"/>
        <v>4.8833333333333326E-2</v>
      </c>
      <c r="K1225" s="587"/>
      <c r="L1225" s="587"/>
      <c r="M1225" s="587">
        <f t="shared" si="98"/>
        <v>1</v>
      </c>
      <c r="N1225" s="587">
        <f t="shared" si="98"/>
        <v>0</v>
      </c>
      <c r="O1225" s="587">
        <f t="shared" si="98"/>
        <v>0</v>
      </c>
      <c r="P1225" s="587">
        <f t="shared" si="98"/>
        <v>0</v>
      </c>
    </row>
    <row r="1226" spans="2:16">
      <c r="B1226" s="587" t="s">
        <v>868</v>
      </c>
      <c r="C1226" s="587" t="s">
        <v>869</v>
      </c>
      <c r="D1226" s="587" t="s">
        <v>873</v>
      </c>
      <c r="E1226" s="587"/>
      <c r="F1226" s="587" t="str">
        <f t="shared" si="99"/>
        <v>Tramway</v>
      </c>
      <c r="G1226" s="587">
        <f t="shared" si="100"/>
        <v>1</v>
      </c>
      <c r="H1226" s="587"/>
      <c r="I1226" s="587">
        <v>8</v>
      </c>
      <c r="J1226" s="587">
        <f t="shared" si="101"/>
        <v>4.8833333333333326E-2</v>
      </c>
      <c r="K1226" s="587"/>
      <c r="L1226" s="587"/>
      <c r="M1226" s="587">
        <f t="shared" si="98"/>
        <v>1</v>
      </c>
      <c r="N1226" s="587">
        <f t="shared" si="98"/>
        <v>0</v>
      </c>
      <c r="O1226" s="587">
        <f t="shared" si="98"/>
        <v>0</v>
      </c>
      <c r="P1226" s="587">
        <f t="shared" si="98"/>
        <v>0</v>
      </c>
    </row>
    <row r="1227" spans="2:16">
      <c r="B1227" s="587" t="s">
        <v>868</v>
      </c>
      <c r="C1227" s="587" t="s">
        <v>869</v>
      </c>
      <c r="D1227" s="587" t="s">
        <v>871</v>
      </c>
      <c r="E1227" s="587"/>
      <c r="F1227" s="587" t="str">
        <f t="shared" si="99"/>
        <v>Marche à pied (exclusivement sur tout le trajet)</v>
      </c>
      <c r="G1227" s="587">
        <f t="shared" si="100"/>
        <v>7</v>
      </c>
      <c r="H1227" s="587"/>
      <c r="I1227" s="587">
        <v>2</v>
      </c>
      <c r="J1227" s="587">
        <f t="shared" si="101"/>
        <v>0</v>
      </c>
      <c r="K1227" s="587"/>
      <c r="L1227" s="587"/>
      <c r="M1227" s="587">
        <f t="shared" si="98"/>
        <v>7</v>
      </c>
      <c r="N1227" s="587">
        <f t="shared" si="98"/>
        <v>0</v>
      </c>
      <c r="O1227" s="587">
        <f t="shared" si="98"/>
        <v>0</v>
      </c>
      <c r="P1227" s="587">
        <f t="shared" si="98"/>
        <v>0</v>
      </c>
    </row>
    <row r="1228" spans="2:16">
      <c r="B1228" s="587" t="s">
        <v>868</v>
      </c>
      <c r="C1228" s="587" t="s">
        <v>869</v>
      </c>
      <c r="D1228" s="587" t="s">
        <v>877</v>
      </c>
      <c r="E1228" s="587"/>
      <c r="F1228" s="587" t="str">
        <f t="shared" si="99"/>
        <v>Vélo’v</v>
      </c>
      <c r="G1228" s="587">
        <f t="shared" si="100"/>
        <v>7</v>
      </c>
      <c r="H1228" s="587"/>
      <c r="I1228" s="587">
        <v>12</v>
      </c>
      <c r="J1228" s="587">
        <f t="shared" si="101"/>
        <v>0</v>
      </c>
      <c r="K1228" s="587"/>
      <c r="L1228" s="587"/>
      <c r="M1228" s="587">
        <f t="shared" si="98"/>
        <v>7</v>
      </c>
      <c r="N1228" s="587">
        <f t="shared" si="98"/>
        <v>0</v>
      </c>
      <c r="O1228" s="587">
        <f t="shared" si="98"/>
        <v>0</v>
      </c>
      <c r="P1228" s="587">
        <f t="shared" si="98"/>
        <v>0</v>
      </c>
    </row>
    <row r="1229" spans="2:16">
      <c r="B1229" s="587" t="s">
        <v>868</v>
      </c>
      <c r="C1229" s="587" t="s">
        <v>869</v>
      </c>
      <c r="D1229" s="587" t="s">
        <v>871</v>
      </c>
      <c r="E1229" s="587"/>
      <c r="F1229" s="587" t="str">
        <f t="shared" si="99"/>
        <v>Marche à pied (exclusivement sur tout le trajet)</v>
      </c>
      <c r="G1229" s="587">
        <f t="shared" si="100"/>
        <v>7</v>
      </c>
      <c r="H1229" s="587"/>
      <c r="I1229" s="587">
        <v>5</v>
      </c>
      <c r="J1229" s="587">
        <f t="shared" si="101"/>
        <v>0</v>
      </c>
      <c r="K1229" s="587"/>
      <c r="L1229" s="587"/>
      <c r="M1229" s="587">
        <f t="shared" si="98"/>
        <v>7</v>
      </c>
      <c r="N1229" s="587">
        <f t="shared" si="98"/>
        <v>0</v>
      </c>
      <c r="O1229" s="587">
        <f t="shared" si="98"/>
        <v>0</v>
      </c>
      <c r="P1229" s="587">
        <f t="shared" si="98"/>
        <v>0</v>
      </c>
    </row>
    <row r="1230" spans="2:16">
      <c r="B1230" s="587" t="s">
        <v>868</v>
      </c>
      <c r="C1230" s="587" t="s">
        <v>869</v>
      </c>
      <c r="D1230" s="587" t="s">
        <v>871</v>
      </c>
      <c r="E1230" s="587"/>
      <c r="F1230" s="587" t="str">
        <f t="shared" si="99"/>
        <v>Marche à pied (exclusivement sur tout le trajet)</v>
      </c>
      <c r="G1230" s="587">
        <f t="shared" si="100"/>
        <v>7</v>
      </c>
      <c r="H1230" s="587"/>
      <c r="I1230" s="587">
        <v>5</v>
      </c>
      <c r="J1230" s="587">
        <f t="shared" si="101"/>
        <v>0</v>
      </c>
      <c r="K1230" s="587"/>
      <c r="L1230" s="587"/>
      <c r="M1230" s="587">
        <f t="shared" si="98"/>
        <v>7</v>
      </c>
      <c r="N1230" s="587">
        <f t="shared" si="98"/>
        <v>0</v>
      </c>
      <c r="O1230" s="587">
        <f t="shared" si="98"/>
        <v>0</v>
      </c>
      <c r="P1230" s="587">
        <f t="shared" si="98"/>
        <v>0</v>
      </c>
    </row>
    <row r="1231" spans="2:16">
      <c r="B1231" s="587" t="s">
        <v>868</v>
      </c>
      <c r="C1231" s="587" t="s">
        <v>869</v>
      </c>
      <c r="D1231" s="587"/>
      <c r="E1231" s="587" t="s">
        <v>873</v>
      </c>
      <c r="F1231" s="587" t="str">
        <f t="shared" si="99"/>
        <v>Tramway</v>
      </c>
      <c r="G1231" s="587">
        <f t="shared" si="100"/>
        <v>1</v>
      </c>
      <c r="H1231" s="587"/>
      <c r="I1231" s="587">
        <v>180</v>
      </c>
      <c r="J1231" s="587">
        <f t="shared" si="101"/>
        <v>4.8833333333333326E-2</v>
      </c>
      <c r="K1231" s="587"/>
      <c r="L1231" s="587"/>
      <c r="M1231" s="587">
        <f t="shared" si="98"/>
        <v>1</v>
      </c>
      <c r="N1231" s="587">
        <f t="shared" si="98"/>
        <v>0</v>
      </c>
      <c r="O1231" s="587">
        <f t="shared" si="98"/>
        <v>0</v>
      </c>
      <c r="P1231" s="587">
        <f t="shared" si="98"/>
        <v>0</v>
      </c>
    </row>
    <row r="1232" spans="2:16">
      <c r="B1232" s="587" t="s">
        <v>868</v>
      </c>
      <c r="C1232" s="587" t="s">
        <v>869</v>
      </c>
      <c r="D1232" s="587" t="s">
        <v>871</v>
      </c>
      <c r="E1232" s="587"/>
      <c r="F1232" s="587" t="str">
        <f t="shared" si="99"/>
        <v>Marche à pied (exclusivement sur tout le trajet)</v>
      </c>
      <c r="G1232" s="587">
        <f t="shared" si="100"/>
        <v>7</v>
      </c>
      <c r="H1232" s="587"/>
      <c r="I1232" s="587">
        <v>3</v>
      </c>
      <c r="J1232" s="587">
        <f t="shared" si="101"/>
        <v>0</v>
      </c>
      <c r="K1232" s="587"/>
      <c r="L1232" s="587"/>
      <c r="M1232" s="587">
        <f t="shared" si="98"/>
        <v>7</v>
      </c>
      <c r="N1232" s="587">
        <f t="shared" si="98"/>
        <v>0</v>
      </c>
      <c r="O1232" s="587">
        <f t="shared" si="98"/>
        <v>0</v>
      </c>
      <c r="P1232" s="587">
        <f t="shared" si="98"/>
        <v>0</v>
      </c>
    </row>
    <row r="1233" spans="2:16">
      <c r="B1233" s="587" t="s">
        <v>868</v>
      </c>
      <c r="C1233" s="587" t="s">
        <v>869</v>
      </c>
      <c r="D1233" s="587" t="s">
        <v>871</v>
      </c>
      <c r="E1233" s="587"/>
      <c r="F1233" s="587" t="str">
        <f t="shared" si="99"/>
        <v>Marche à pied (exclusivement sur tout le trajet)</v>
      </c>
      <c r="G1233" s="587">
        <f t="shared" si="100"/>
        <v>7</v>
      </c>
      <c r="H1233" s="587"/>
      <c r="I1233" s="587">
        <v>5</v>
      </c>
      <c r="J1233" s="587">
        <f t="shared" si="101"/>
        <v>0</v>
      </c>
      <c r="K1233" s="587"/>
      <c r="L1233" s="587"/>
      <c r="M1233" s="587">
        <f t="shared" si="98"/>
        <v>7</v>
      </c>
      <c r="N1233" s="587">
        <f t="shared" si="98"/>
        <v>0</v>
      </c>
      <c r="O1233" s="587">
        <f t="shared" si="98"/>
        <v>0</v>
      </c>
      <c r="P1233" s="587">
        <f t="shared" si="98"/>
        <v>0</v>
      </c>
    </row>
    <row r="1234" spans="2:16">
      <c r="B1234" s="587" t="s">
        <v>868</v>
      </c>
      <c r="C1234" s="587" t="s">
        <v>869</v>
      </c>
      <c r="D1234" s="587"/>
      <c r="E1234" s="587" t="s">
        <v>870</v>
      </c>
      <c r="F1234" s="587" t="str">
        <f t="shared" si="99"/>
        <v>Métro</v>
      </c>
      <c r="G1234" s="587">
        <f t="shared" si="100"/>
        <v>1</v>
      </c>
      <c r="H1234" s="587"/>
      <c r="I1234" s="587">
        <v>37</v>
      </c>
      <c r="J1234" s="587">
        <f t="shared" si="101"/>
        <v>4.8833333333333326E-2</v>
      </c>
      <c r="K1234" s="587"/>
      <c r="L1234" s="587"/>
      <c r="M1234" s="587">
        <f t="shared" si="98"/>
        <v>1</v>
      </c>
      <c r="N1234" s="587">
        <f t="shared" si="98"/>
        <v>0</v>
      </c>
      <c r="O1234" s="587">
        <f t="shared" si="98"/>
        <v>0</v>
      </c>
      <c r="P1234" s="587">
        <f t="shared" si="98"/>
        <v>0</v>
      </c>
    </row>
    <row r="1235" spans="2:16">
      <c r="B1235" s="587" t="s">
        <v>868</v>
      </c>
      <c r="C1235" s="587" t="s">
        <v>869</v>
      </c>
      <c r="D1235" s="587" t="s">
        <v>871</v>
      </c>
      <c r="E1235" s="587"/>
      <c r="F1235" s="587" t="str">
        <f t="shared" si="99"/>
        <v>Marche à pied (exclusivement sur tout le trajet)</v>
      </c>
      <c r="G1235" s="587">
        <f t="shared" si="100"/>
        <v>7</v>
      </c>
      <c r="H1235" s="587"/>
      <c r="I1235" s="587">
        <v>10</v>
      </c>
      <c r="J1235" s="587">
        <f t="shared" si="101"/>
        <v>0</v>
      </c>
      <c r="K1235" s="587"/>
      <c r="L1235" s="587"/>
      <c r="M1235" s="587">
        <f t="shared" si="98"/>
        <v>7</v>
      </c>
      <c r="N1235" s="587">
        <f t="shared" si="98"/>
        <v>0</v>
      </c>
      <c r="O1235" s="587">
        <f t="shared" si="98"/>
        <v>0</v>
      </c>
      <c r="P1235" s="587">
        <f t="shared" si="98"/>
        <v>0</v>
      </c>
    </row>
    <row r="1236" spans="2:16">
      <c r="B1236" s="587" t="s">
        <v>868</v>
      </c>
      <c r="C1236" s="587" t="s">
        <v>869</v>
      </c>
      <c r="D1236" s="587"/>
      <c r="E1236" s="587" t="s">
        <v>872</v>
      </c>
      <c r="F1236" s="587" t="str">
        <f t="shared" si="99"/>
        <v>Vélo personnel (y compris vélo à assistance électrique)</v>
      </c>
      <c r="G1236" s="587">
        <f t="shared" si="100"/>
        <v>7</v>
      </c>
      <c r="H1236" s="587"/>
      <c r="I1236" s="587">
        <v>15</v>
      </c>
      <c r="J1236" s="587">
        <f t="shared" si="101"/>
        <v>0</v>
      </c>
      <c r="K1236" s="587"/>
      <c r="L1236" s="587"/>
      <c r="M1236" s="587">
        <f t="shared" si="98"/>
        <v>7</v>
      </c>
      <c r="N1236" s="587">
        <f t="shared" si="98"/>
        <v>0</v>
      </c>
      <c r="O1236" s="587">
        <f t="shared" si="98"/>
        <v>0</v>
      </c>
      <c r="P1236" s="587">
        <f t="shared" si="98"/>
        <v>0</v>
      </c>
    </row>
    <row r="1237" spans="2:16">
      <c r="B1237" s="587" t="s">
        <v>868</v>
      </c>
      <c r="C1237" s="587" t="s">
        <v>869</v>
      </c>
      <c r="D1237" s="587" t="s">
        <v>872</v>
      </c>
      <c r="E1237" s="587"/>
      <c r="F1237" s="587" t="str">
        <f t="shared" si="99"/>
        <v>Vélo personnel (y compris vélo à assistance électrique)</v>
      </c>
      <c r="G1237" s="587">
        <f t="shared" si="100"/>
        <v>7</v>
      </c>
      <c r="H1237" s="587"/>
      <c r="I1237" s="587">
        <v>10</v>
      </c>
      <c r="J1237" s="587">
        <f t="shared" si="101"/>
        <v>0</v>
      </c>
      <c r="K1237" s="587"/>
      <c r="L1237" s="587"/>
      <c r="M1237" s="587">
        <f t="shared" si="98"/>
        <v>7</v>
      </c>
      <c r="N1237" s="587">
        <f t="shared" si="98"/>
        <v>0</v>
      </c>
      <c r="O1237" s="587">
        <f t="shared" si="98"/>
        <v>0</v>
      </c>
      <c r="P1237" s="587">
        <f t="shared" si="98"/>
        <v>0</v>
      </c>
    </row>
    <row r="1238" spans="2:16">
      <c r="B1238" s="587" t="s">
        <v>868</v>
      </c>
      <c r="C1238" s="587" t="s">
        <v>869</v>
      </c>
      <c r="D1238" s="587" t="s">
        <v>871</v>
      </c>
      <c r="E1238" s="587"/>
      <c r="F1238" s="587" t="str">
        <f t="shared" si="99"/>
        <v>Marche à pied (exclusivement sur tout le trajet)</v>
      </c>
      <c r="G1238" s="587">
        <f t="shared" si="100"/>
        <v>7</v>
      </c>
      <c r="H1238" s="587"/>
      <c r="I1238" s="587">
        <v>4</v>
      </c>
      <c r="J1238" s="587">
        <f t="shared" si="101"/>
        <v>0</v>
      </c>
      <c r="K1238" s="587"/>
      <c r="L1238" s="587"/>
      <c r="M1238" s="587">
        <f t="shared" si="98"/>
        <v>7</v>
      </c>
      <c r="N1238" s="587">
        <f t="shared" si="98"/>
        <v>0</v>
      </c>
      <c r="O1238" s="587">
        <f t="shared" si="98"/>
        <v>0</v>
      </c>
      <c r="P1238" s="587">
        <f t="shared" si="98"/>
        <v>0</v>
      </c>
    </row>
    <row r="1239" spans="2:16">
      <c r="B1239" s="587" t="s">
        <v>868</v>
      </c>
      <c r="C1239" s="587" t="s">
        <v>869</v>
      </c>
      <c r="D1239" s="587" t="s">
        <v>873</v>
      </c>
      <c r="E1239" s="587"/>
      <c r="F1239" s="587" t="str">
        <f t="shared" si="99"/>
        <v>Tramway</v>
      </c>
      <c r="G1239" s="587">
        <f t="shared" si="100"/>
        <v>1</v>
      </c>
      <c r="H1239" s="587"/>
      <c r="I1239" s="587">
        <v>5</v>
      </c>
      <c r="J1239" s="587">
        <f t="shared" si="101"/>
        <v>4.8833333333333326E-2</v>
      </c>
      <c r="K1239" s="587"/>
      <c r="L1239" s="587"/>
      <c r="M1239" s="587">
        <f t="shared" si="98"/>
        <v>1</v>
      </c>
      <c r="N1239" s="587">
        <f t="shared" si="98"/>
        <v>0</v>
      </c>
      <c r="O1239" s="587">
        <f t="shared" si="98"/>
        <v>0</v>
      </c>
      <c r="P1239" s="587">
        <f t="shared" si="98"/>
        <v>0</v>
      </c>
    </row>
    <row r="1240" spans="2:16">
      <c r="B1240" s="587" t="s">
        <v>868</v>
      </c>
      <c r="C1240" s="587" t="s">
        <v>869</v>
      </c>
      <c r="D1240" s="587" t="s">
        <v>877</v>
      </c>
      <c r="E1240" s="587"/>
      <c r="F1240" s="587" t="str">
        <f t="shared" si="99"/>
        <v>Vélo’v</v>
      </c>
      <c r="G1240" s="587">
        <f t="shared" si="100"/>
        <v>7</v>
      </c>
      <c r="H1240" s="587"/>
      <c r="I1240" s="587">
        <v>5</v>
      </c>
      <c r="J1240" s="587">
        <f t="shared" si="101"/>
        <v>0</v>
      </c>
      <c r="K1240" s="587"/>
      <c r="L1240" s="587"/>
      <c r="M1240" s="587">
        <f t="shared" si="98"/>
        <v>7</v>
      </c>
      <c r="N1240" s="587">
        <f t="shared" si="98"/>
        <v>0</v>
      </c>
      <c r="O1240" s="587">
        <f t="shared" si="98"/>
        <v>0</v>
      </c>
      <c r="P1240" s="587">
        <f t="shared" si="98"/>
        <v>0</v>
      </c>
    </row>
    <row r="1241" spans="2:16">
      <c r="B1241" s="587" t="s">
        <v>868</v>
      </c>
      <c r="C1241" s="587" t="s">
        <v>869</v>
      </c>
      <c r="D1241" s="587" t="s">
        <v>871</v>
      </c>
      <c r="E1241" s="587"/>
      <c r="F1241" s="587" t="str">
        <f t="shared" si="99"/>
        <v>Marche à pied (exclusivement sur tout le trajet)</v>
      </c>
      <c r="G1241" s="587">
        <f t="shared" si="100"/>
        <v>7</v>
      </c>
      <c r="H1241" s="587"/>
      <c r="I1241" s="587">
        <v>5</v>
      </c>
      <c r="J1241" s="587">
        <f t="shared" si="101"/>
        <v>0</v>
      </c>
      <c r="K1241" s="587"/>
      <c r="L1241" s="587"/>
      <c r="M1241" s="587">
        <f t="shared" si="98"/>
        <v>7</v>
      </c>
      <c r="N1241" s="587">
        <f t="shared" si="98"/>
        <v>0</v>
      </c>
      <c r="O1241" s="587">
        <f t="shared" si="98"/>
        <v>0</v>
      </c>
      <c r="P1241" s="587">
        <f t="shared" ref="P1241:P1304" si="102">IF($C1241=P$27,$G1241,0)</f>
        <v>0</v>
      </c>
    </row>
    <row r="1242" spans="2:16">
      <c r="B1242" s="587" t="s">
        <v>868</v>
      </c>
      <c r="C1242" s="587" t="s">
        <v>869</v>
      </c>
      <c r="D1242" s="587"/>
      <c r="E1242" s="587" t="s">
        <v>872</v>
      </c>
      <c r="F1242" s="587" t="str">
        <f t="shared" si="99"/>
        <v>Vélo personnel (y compris vélo à assistance électrique)</v>
      </c>
      <c r="G1242" s="587">
        <f t="shared" si="100"/>
        <v>7</v>
      </c>
      <c r="H1242" s="587"/>
      <c r="I1242" s="587">
        <v>10</v>
      </c>
      <c r="J1242" s="587">
        <f t="shared" si="101"/>
        <v>0</v>
      </c>
      <c r="K1242" s="587"/>
      <c r="L1242" s="587"/>
      <c r="M1242" s="587">
        <f t="shared" ref="M1242:P1305" si="103">IF($C1242=M$27,$G1242,0)</f>
        <v>7</v>
      </c>
      <c r="N1242" s="587">
        <f t="shared" si="103"/>
        <v>0</v>
      </c>
      <c r="O1242" s="587">
        <f t="shared" si="103"/>
        <v>0</v>
      </c>
      <c r="P1242" s="587">
        <f t="shared" si="102"/>
        <v>0</v>
      </c>
    </row>
    <row r="1243" spans="2:16">
      <c r="B1243" s="587" t="s">
        <v>868</v>
      </c>
      <c r="C1243" s="587" t="s">
        <v>869</v>
      </c>
      <c r="D1243" s="587" t="s">
        <v>877</v>
      </c>
      <c r="E1243" s="587"/>
      <c r="F1243" s="587" t="str">
        <f t="shared" si="99"/>
        <v>Vélo’v</v>
      </c>
      <c r="G1243" s="587">
        <f t="shared" si="100"/>
        <v>7</v>
      </c>
      <c r="H1243" s="587"/>
      <c r="I1243" s="587">
        <v>10</v>
      </c>
      <c r="J1243" s="587">
        <f t="shared" si="101"/>
        <v>0</v>
      </c>
      <c r="K1243" s="587"/>
      <c r="L1243" s="587"/>
      <c r="M1243" s="587">
        <f t="shared" si="103"/>
        <v>7</v>
      </c>
      <c r="N1243" s="587">
        <f t="shared" si="103"/>
        <v>0</v>
      </c>
      <c r="O1243" s="587">
        <f t="shared" si="103"/>
        <v>0</v>
      </c>
      <c r="P1243" s="587">
        <f t="shared" si="102"/>
        <v>0</v>
      </c>
    </row>
    <row r="1244" spans="2:16">
      <c r="B1244" s="587" t="s">
        <v>868</v>
      </c>
      <c r="C1244" s="587" t="s">
        <v>869</v>
      </c>
      <c r="D1244" s="587"/>
      <c r="E1244" s="587" t="s">
        <v>878</v>
      </c>
      <c r="F1244" s="587" t="str">
        <f t="shared" si="99"/>
        <v>Marche à pied au-delà de 5 minutes</v>
      </c>
      <c r="G1244" s="587">
        <f t="shared" si="100"/>
        <v>7</v>
      </c>
      <c r="H1244" s="587"/>
      <c r="I1244" s="587">
        <v>35</v>
      </c>
      <c r="J1244" s="587">
        <f t="shared" si="101"/>
        <v>0</v>
      </c>
      <c r="K1244" s="587"/>
      <c r="L1244" s="587"/>
      <c r="M1244" s="587">
        <f t="shared" si="103"/>
        <v>7</v>
      </c>
      <c r="N1244" s="587">
        <f t="shared" si="103"/>
        <v>0</v>
      </c>
      <c r="O1244" s="587">
        <f t="shared" si="103"/>
        <v>0</v>
      </c>
      <c r="P1244" s="587">
        <f t="shared" si="102"/>
        <v>0</v>
      </c>
    </row>
    <row r="1245" spans="2:16">
      <c r="B1245" s="587" t="s">
        <v>868</v>
      </c>
      <c r="C1245" s="587" t="s">
        <v>869</v>
      </c>
      <c r="D1245" s="587"/>
      <c r="E1245" s="587" t="s">
        <v>870</v>
      </c>
      <c r="F1245" s="587" t="str">
        <f t="shared" si="99"/>
        <v>Métro</v>
      </c>
      <c r="G1245" s="587">
        <f t="shared" si="100"/>
        <v>1</v>
      </c>
      <c r="H1245" s="587"/>
      <c r="I1245" s="587">
        <v>40</v>
      </c>
      <c r="J1245" s="587">
        <f t="shared" si="101"/>
        <v>4.8833333333333326E-2</v>
      </c>
      <c r="K1245" s="587"/>
      <c r="L1245" s="587"/>
      <c r="M1245" s="587">
        <f t="shared" si="103"/>
        <v>1</v>
      </c>
      <c r="N1245" s="587">
        <f t="shared" si="103"/>
        <v>0</v>
      </c>
      <c r="O1245" s="587">
        <f t="shared" si="103"/>
        <v>0</v>
      </c>
      <c r="P1245" s="587">
        <f t="shared" si="102"/>
        <v>0</v>
      </c>
    </row>
    <row r="1246" spans="2:16">
      <c r="B1246" s="587" t="s">
        <v>868</v>
      </c>
      <c r="C1246" s="587" t="s">
        <v>869</v>
      </c>
      <c r="D1246" s="587" t="s">
        <v>873</v>
      </c>
      <c r="E1246" s="587"/>
      <c r="F1246" s="587" t="str">
        <f t="shared" si="99"/>
        <v>Tramway</v>
      </c>
      <c r="G1246" s="587">
        <f t="shared" si="100"/>
        <v>1</v>
      </c>
      <c r="H1246" s="587"/>
      <c r="I1246" s="587">
        <v>5</v>
      </c>
      <c r="J1246" s="587">
        <f t="shared" si="101"/>
        <v>4.8833333333333326E-2</v>
      </c>
      <c r="K1246" s="587"/>
      <c r="L1246" s="587"/>
      <c r="M1246" s="587">
        <f t="shared" si="103"/>
        <v>1</v>
      </c>
      <c r="N1246" s="587">
        <f t="shared" si="103"/>
        <v>0</v>
      </c>
      <c r="O1246" s="587">
        <f t="shared" si="103"/>
        <v>0</v>
      </c>
      <c r="P1246" s="587">
        <f t="shared" si="102"/>
        <v>0</v>
      </c>
    </row>
    <row r="1247" spans="2:16">
      <c r="B1247" s="587" t="s">
        <v>868</v>
      </c>
      <c r="C1247" s="587" t="s">
        <v>869</v>
      </c>
      <c r="D1247" s="587"/>
      <c r="E1247" s="587" t="s">
        <v>872</v>
      </c>
      <c r="F1247" s="587" t="str">
        <f t="shared" si="99"/>
        <v>Vélo personnel (y compris vélo à assistance électrique)</v>
      </c>
      <c r="G1247" s="587">
        <f t="shared" si="100"/>
        <v>7</v>
      </c>
      <c r="H1247" s="587"/>
      <c r="I1247" s="587">
        <v>5</v>
      </c>
      <c r="J1247" s="587">
        <f t="shared" si="101"/>
        <v>0</v>
      </c>
      <c r="K1247" s="587"/>
      <c r="L1247" s="587"/>
      <c r="M1247" s="587">
        <f t="shared" si="103"/>
        <v>7</v>
      </c>
      <c r="N1247" s="587">
        <f t="shared" si="103"/>
        <v>0</v>
      </c>
      <c r="O1247" s="587">
        <f t="shared" si="103"/>
        <v>0</v>
      </c>
      <c r="P1247" s="587">
        <f t="shared" si="102"/>
        <v>0</v>
      </c>
    </row>
    <row r="1248" spans="2:16">
      <c r="B1248" s="587" t="s">
        <v>868</v>
      </c>
      <c r="C1248" s="587" t="s">
        <v>869</v>
      </c>
      <c r="D1248" s="587" t="s">
        <v>873</v>
      </c>
      <c r="E1248" s="587"/>
      <c r="F1248" s="587" t="str">
        <f t="shared" si="99"/>
        <v>Tramway</v>
      </c>
      <c r="G1248" s="587">
        <f t="shared" si="100"/>
        <v>1</v>
      </c>
      <c r="H1248" s="587"/>
      <c r="I1248" s="587">
        <v>2</v>
      </c>
      <c r="J1248" s="587">
        <f t="shared" si="101"/>
        <v>4.8833333333333326E-2</v>
      </c>
      <c r="K1248" s="587"/>
      <c r="L1248" s="587"/>
      <c r="M1248" s="587">
        <f t="shared" si="103"/>
        <v>1</v>
      </c>
      <c r="N1248" s="587">
        <f t="shared" si="103"/>
        <v>0</v>
      </c>
      <c r="O1248" s="587">
        <f t="shared" si="103"/>
        <v>0</v>
      </c>
      <c r="P1248" s="587">
        <f t="shared" si="102"/>
        <v>0</v>
      </c>
    </row>
    <row r="1249" spans="2:16">
      <c r="B1249" s="587" t="s">
        <v>868</v>
      </c>
      <c r="C1249" s="587" t="s">
        <v>869</v>
      </c>
      <c r="D1249" s="587" t="s">
        <v>871</v>
      </c>
      <c r="E1249" s="587"/>
      <c r="F1249" s="587" t="str">
        <f t="shared" si="99"/>
        <v>Marche à pied (exclusivement sur tout le trajet)</v>
      </c>
      <c r="G1249" s="587">
        <f t="shared" si="100"/>
        <v>7</v>
      </c>
      <c r="H1249" s="587"/>
      <c r="I1249" s="587">
        <v>5</v>
      </c>
      <c r="J1249" s="587">
        <f t="shared" si="101"/>
        <v>0</v>
      </c>
      <c r="K1249" s="587"/>
      <c r="L1249" s="587"/>
      <c r="M1249" s="587">
        <f t="shared" si="103"/>
        <v>7</v>
      </c>
      <c r="N1249" s="587">
        <f t="shared" si="103"/>
        <v>0</v>
      </c>
      <c r="O1249" s="587">
        <f t="shared" si="103"/>
        <v>0</v>
      </c>
      <c r="P1249" s="587">
        <f t="shared" si="102"/>
        <v>0</v>
      </c>
    </row>
    <row r="1250" spans="2:16">
      <c r="B1250" s="587" t="s">
        <v>868</v>
      </c>
      <c r="C1250" s="587" t="s">
        <v>869</v>
      </c>
      <c r="D1250" s="587" t="s">
        <v>871</v>
      </c>
      <c r="E1250" s="587"/>
      <c r="F1250" s="587" t="str">
        <f t="shared" si="99"/>
        <v>Marche à pied (exclusivement sur tout le trajet)</v>
      </c>
      <c r="G1250" s="587">
        <f t="shared" si="100"/>
        <v>7</v>
      </c>
      <c r="H1250" s="587"/>
      <c r="I1250" s="587">
        <v>10</v>
      </c>
      <c r="J1250" s="587">
        <f t="shared" si="101"/>
        <v>0</v>
      </c>
      <c r="K1250" s="587"/>
      <c r="L1250" s="587"/>
      <c r="M1250" s="587">
        <f t="shared" si="103"/>
        <v>7</v>
      </c>
      <c r="N1250" s="587">
        <f t="shared" si="103"/>
        <v>0</v>
      </c>
      <c r="O1250" s="587">
        <f t="shared" si="103"/>
        <v>0</v>
      </c>
      <c r="P1250" s="587">
        <f t="shared" si="102"/>
        <v>0</v>
      </c>
    </row>
    <row r="1251" spans="2:16">
      <c r="B1251" s="587" t="s">
        <v>868</v>
      </c>
      <c r="C1251" s="587" t="s">
        <v>869</v>
      </c>
      <c r="D1251" s="587" t="s">
        <v>877</v>
      </c>
      <c r="E1251" s="587"/>
      <c r="F1251" s="587" t="str">
        <f t="shared" si="99"/>
        <v>Vélo’v</v>
      </c>
      <c r="G1251" s="587">
        <f t="shared" si="100"/>
        <v>7</v>
      </c>
      <c r="H1251" s="587"/>
      <c r="I1251" s="587">
        <v>15</v>
      </c>
      <c r="J1251" s="587">
        <f t="shared" si="101"/>
        <v>0</v>
      </c>
      <c r="K1251" s="587"/>
      <c r="L1251" s="587"/>
      <c r="M1251" s="587">
        <f t="shared" si="103"/>
        <v>7</v>
      </c>
      <c r="N1251" s="587">
        <f t="shared" si="103"/>
        <v>0</v>
      </c>
      <c r="O1251" s="587">
        <f t="shared" si="103"/>
        <v>0</v>
      </c>
      <c r="P1251" s="587">
        <f t="shared" si="102"/>
        <v>0</v>
      </c>
    </row>
    <row r="1252" spans="2:16">
      <c r="B1252" s="587" t="s">
        <v>868</v>
      </c>
      <c r="C1252" s="587" t="s">
        <v>869</v>
      </c>
      <c r="D1252" s="587" t="s">
        <v>871</v>
      </c>
      <c r="E1252" s="587"/>
      <c r="F1252" s="587" t="str">
        <f t="shared" si="99"/>
        <v>Marche à pied (exclusivement sur tout le trajet)</v>
      </c>
      <c r="G1252" s="587">
        <f t="shared" si="100"/>
        <v>7</v>
      </c>
      <c r="H1252" s="587"/>
      <c r="I1252" s="587"/>
      <c r="J1252" s="587">
        <f t="shared" si="101"/>
        <v>0</v>
      </c>
      <c r="K1252" s="587"/>
      <c r="L1252" s="587"/>
      <c r="M1252" s="587">
        <f t="shared" si="103"/>
        <v>7</v>
      </c>
      <c r="N1252" s="587">
        <f t="shared" si="103"/>
        <v>0</v>
      </c>
      <c r="O1252" s="587">
        <f t="shared" si="103"/>
        <v>0</v>
      </c>
      <c r="P1252" s="587">
        <f t="shared" si="102"/>
        <v>0</v>
      </c>
    </row>
    <row r="1253" spans="2:16">
      <c r="B1253" s="587" t="s">
        <v>868</v>
      </c>
      <c r="C1253" s="587" t="s">
        <v>869</v>
      </c>
      <c r="D1253" s="587" t="s">
        <v>871</v>
      </c>
      <c r="E1253" s="587"/>
      <c r="F1253" s="587" t="str">
        <f t="shared" si="99"/>
        <v>Marche à pied (exclusivement sur tout le trajet)</v>
      </c>
      <c r="G1253" s="587">
        <f t="shared" si="100"/>
        <v>7</v>
      </c>
      <c r="H1253" s="587"/>
      <c r="I1253" s="587">
        <v>10</v>
      </c>
      <c r="J1253" s="587">
        <f t="shared" si="101"/>
        <v>0</v>
      </c>
      <c r="K1253" s="587"/>
      <c r="L1253" s="587"/>
      <c r="M1253" s="587">
        <f t="shared" si="103"/>
        <v>7</v>
      </c>
      <c r="N1253" s="587">
        <f t="shared" si="103"/>
        <v>0</v>
      </c>
      <c r="O1253" s="587">
        <f t="shared" si="103"/>
        <v>0</v>
      </c>
      <c r="P1253" s="587">
        <f t="shared" si="102"/>
        <v>0</v>
      </c>
    </row>
    <row r="1254" spans="2:16">
      <c r="B1254" s="587" t="s">
        <v>868</v>
      </c>
      <c r="C1254" s="587" t="s">
        <v>869</v>
      </c>
      <c r="D1254" s="587" t="s">
        <v>871</v>
      </c>
      <c r="E1254" s="587"/>
      <c r="F1254" s="587" t="str">
        <f t="shared" si="99"/>
        <v>Marche à pied (exclusivement sur tout le trajet)</v>
      </c>
      <c r="G1254" s="587">
        <f t="shared" si="100"/>
        <v>7</v>
      </c>
      <c r="H1254" s="587"/>
      <c r="I1254" s="587">
        <v>15</v>
      </c>
      <c r="J1254" s="587">
        <f t="shared" si="101"/>
        <v>0</v>
      </c>
      <c r="K1254" s="587"/>
      <c r="L1254" s="587"/>
      <c r="M1254" s="587">
        <f t="shared" si="103"/>
        <v>7</v>
      </c>
      <c r="N1254" s="587">
        <f t="shared" si="103"/>
        <v>0</v>
      </c>
      <c r="O1254" s="587">
        <f t="shared" si="103"/>
        <v>0</v>
      </c>
      <c r="P1254" s="587">
        <f t="shared" si="102"/>
        <v>0</v>
      </c>
    </row>
    <row r="1255" spans="2:16">
      <c r="B1255" s="587" t="s">
        <v>868</v>
      </c>
      <c r="C1255" s="587" t="s">
        <v>869</v>
      </c>
      <c r="D1255" s="587"/>
      <c r="E1255" s="587" t="s">
        <v>878</v>
      </c>
      <c r="F1255" s="587" t="str">
        <f t="shared" si="99"/>
        <v>Marche à pied au-delà de 5 minutes</v>
      </c>
      <c r="G1255" s="587">
        <f t="shared" si="100"/>
        <v>7</v>
      </c>
      <c r="H1255" s="587"/>
      <c r="I1255" s="587">
        <v>20</v>
      </c>
      <c r="J1255" s="587">
        <f t="shared" si="101"/>
        <v>0</v>
      </c>
      <c r="K1255" s="587"/>
      <c r="L1255" s="587"/>
      <c r="M1255" s="587">
        <f t="shared" si="103"/>
        <v>7</v>
      </c>
      <c r="N1255" s="587">
        <f t="shared" si="103"/>
        <v>0</v>
      </c>
      <c r="O1255" s="587">
        <f t="shared" si="103"/>
        <v>0</v>
      </c>
      <c r="P1255" s="587">
        <f t="shared" si="102"/>
        <v>0</v>
      </c>
    </row>
    <row r="1256" spans="2:16">
      <c r="B1256" s="587" t="s">
        <v>868</v>
      </c>
      <c r="C1256" s="587" t="s">
        <v>869</v>
      </c>
      <c r="D1256" s="587" t="s">
        <v>871</v>
      </c>
      <c r="E1256" s="587"/>
      <c r="F1256" s="587" t="str">
        <f t="shared" si="99"/>
        <v>Marche à pied (exclusivement sur tout le trajet)</v>
      </c>
      <c r="G1256" s="587">
        <f t="shared" si="100"/>
        <v>7</v>
      </c>
      <c r="H1256" s="587"/>
      <c r="I1256" s="587">
        <v>8</v>
      </c>
      <c r="J1256" s="587">
        <f t="shared" si="101"/>
        <v>0</v>
      </c>
      <c r="K1256" s="587"/>
      <c r="L1256" s="587"/>
      <c r="M1256" s="587">
        <f t="shared" si="103"/>
        <v>7</v>
      </c>
      <c r="N1256" s="587">
        <f t="shared" si="103"/>
        <v>0</v>
      </c>
      <c r="O1256" s="587">
        <f t="shared" si="103"/>
        <v>0</v>
      </c>
      <c r="P1256" s="587">
        <f t="shared" si="102"/>
        <v>0</v>
      </c>
    </row>
    <row r="1257" spans="2:16">
      <c r="B1257" s="587" t="s">
        <v>868</v>
      </c>
      <c r="C1257" s="587" t="s">
        <v>869</v>
      </c>
      <c r="D1257" s="587"/>
      <c r="E1257" s="587" t="s">
        <v>878</v>
      </c>
      <c r="F1257" s="587" t="str">
        <f t="shared" si="99"/>
        <v>Marche à pied au-delà de 5 minutes</v>
      </c>
      <c r="G1257" s="587">
        <f t="shared" si="100"/>
        <v>7</v>
      </c>
      <c r="H1257" s="587"/>
      <c r="I1257" s="587">
        <v>7</v>
      </c>
      <c r="J1257" s="587">
        <f t="shared" si="101"/>
        <v>0</v>
      </c>
      <c r="K1257" s="587"/>
      <c r="L1257" s="587"/>
      <c r="M1257" s="587">
        <f t="shared" si="103"/>
        <v>7</v>
      </c>
      <c r="N1257" s="587">
        <f t="shared" si="103"/>
        <v>0</v>
      </c>
      <c r="O1257" s="587">
        <f t="shared" si="103"/>
        <v>0</v>
      </c>
      <c r="P1257" s="587">
        <f t="shared" si="102"/>
        <v>0</v>
      </c>
    </row>
    <row r="1258" spans="2:16">
      <c r="B1258" s="587" t="s">
        <v>868</v>
      </c>
      <c r="C1258" s="587" t="s">
        <v>882</v>
      </c>
      <c r="D1258" s="587" t="s">
        <v>879</v>
      </c>
      <c r="E1258" s="587"/>
      <c r="F1258" s="587" t="str">
        <f t="shared" si="99"/>
        <v>Voiture (seul(e))</v>
      </c>
      <c r="G1258" s="587">
        <f t="shared" si="100"/>
        <v>3</v>
      </c>
      <c r="H1258" s="587"/>
      <c r="I1258" s="587">
        <v>30</v>
      </c>
      <c r="J1258" s="587">
        <f t="shared" si="101"/>
        <v>2.7600000000000002</v>
      </c>
      <c r="K1258" s="587"/>
      <c r="L1258" s="587"/>
      <c r="M1258" s="587">
        <f t="shared" si="103"/>
        <v>0</v>
      </c>
      <c r="N1258" s="587">
        <f t="shared" si="103"/>
        <v>0</v>
      </c>
      <c r="O1258" s="587">
        <f t="shared" si="103"/>
        <v>3</v>
      </c>
      <c r="P1258" s="587">
        <f t="shared" si="102"/>
        <v>0</v>
      </c>
    </row>
    <row r="1259" spans="2:16">
      <c r="B1259" s="587" t="s">
        <v>868</v>
      </c>
      <c r="C1259" s="587" t="s">
        <v>869</v>
      </c>
      <c r="D1259" s="587" t="s">
        <v>871</v>
      </c>
      <c r="E1259" s="587"/>
      <c r="F1259" s="587" t="str">
        <f t="shared" si="99"/>
        <v>Marche à pied (exclusivement sur tout le trajet)</v>
      </c>
      <c r="G1259" s="587">
        <f t="shared" si="100"/>
        <v>7</v>
      </c>
      <c r="H1259" s="587"/>
      <c r="I1259" s="587">
        <v>10</v>
      </c>
      <c r="J1259" s="587">
        <f t="shared" si="101"/>
        <v>0</v>
      </c>
      <c r="K1259" s="587"/>
      <c r="L1259" s="587"/>
      <c r="M1259" s="587">
        <f t="shared" si="103"/>
        <v>7</v>
      </c>
      <c r="N1259" s="587">
        <f t="shared" si="103"/>
        <v>0</v>
      </c>
      <c r="O1259" s="587">
        <f t="shared" si="103"/>
        <v>0</v>
      </c>
      <c r="P1259" s="587">
        <f t="shared" si="102"/>
        <v>0</v>
      </c>
    </row>
    <row r="1260" spans="2:16">
      <c r="B1260" s="587" t="s">
        <v>868</v>
      </c>
      <c r="C1260" s="587" t="s">
        <v>869</v>
      </c>
      <c r="D1260" s="587" t="s">
        <v>871</v>
      </c>
      <c r="E1260" s="587"/>
      <c r="F1260" s="587" t="str">
        <f t="shared" si="99"/>
        <v>Marche à pied (exclusivement sur tout le trajet)</v>
      </c>
      <c r="G1260" s="587">
        <f t="shared" si="100"/>
        <v>7</v>
      </c>
      <c r="H1260" s="587"/>
      <c r="I1260" s="587">
        <v>10</v>
      </c>
      <c r="J1260" s="587">
        <f t="shared" si="101"/>
        <v>0</v>
      </c>
      <c r="K1260" s="587"/>
      <c r="L1260" s="587"/>
      <c r="M1260" s="587">
        <f t="shared" si="103"/>
        <v>7</v>
      </c>
      <c r="N1260" s="587">
        <f t="shared" si="103"/>
        <v>0</v>
      </c>
      <c r="O1260" s="587">
        <f t="shared" si="103"/>
        <v>0</v>
      </c>
      <c r="P1260" s="587">
        <f t="shared" si="102"/>
        <v>0</v>
      </c>
    </row>
    <row r="1261" spans="2:16">
      <c r="B1261" s="587" t="s">
        <v>868</v>
      </c>
      <c r="C1261" s="587" t="s">
        <v>869</v>
      </c>
      <c r="D1261" s="587" t="s">
        <v>848</v>
      </c>
      <c r="E1261" s="587"/>
      <c r="F1261" s="587" t="str">
        <f t="shared" si="99"/>
        <v>Bus</v>
      </c>
      <c r="G1261" s="587">
        <f t="shared" si="100"/>
        <v>2</v>
      </c>
      <c r="H1261" s="587"/>
      <c r="I1261" s="587">
        <v>20</v>
      </c>
      <c r="J1261" s="587">
        <f t="shared" si="101"/>
        <v>1.29</v>
      </c>
      <c r="K1261" s="587"/>
      <c r="L1261" s="587"/>
      <c r="M1261" s="587">
        <f t="shared" si="103"/>
        <v>2</v>
      </c>
      <c r="N1261" s="587">
        <f t="shared" si="103"/>
        <v>0</v>
      </c>
      <c r="O1261" s="587">
        <f t="shared" si="103"/>
        <v>0</v>
      </c>
      <c r="P1261" s="587">
        <f t="shared" si="102"/>
        <v>0</v>
      </c>
    </row>
    <row r="1262" spans="2:16">
      <c r="B1262" s="587" t="s">
        <v>868</v>
      </c>
      <c r="C1262" s="587" t="s">
        <v>875</v>
      </c>
      <c r="D1262" s="587"/>
      <c r="E1262" s="587" t="s">
        <v>886</v>
      </c>
      <c r="F1262" s="587" t="str">
        <f t="shared" si="99"/>
        <v>Train (TER,..)</v>
      </c>
      <c r="G1262" s="587">
        <f t="shared" si="100"/>
        <v>6</v>
      </c>
      <c r="H1262" s="587"/>
      <c r="I1262" s="587">
        <v>70</v>
      </c>
      <c r="J1262" s="587">
        <f t="shared" si="101"/>
        <v>0.34600000000000003</v>
      </c>
      <c r="K1262" s="587"/>
      <c r="L1262" s="587"/>
      <c r="M1262" s="587">
        <f t="shared" si="103"/>
        <v>0</v>
      </c>
      <c r="N1262" s="587">
        <f t="shared" si="103"/>
        <v>6</v>
      </c>
      <c r="O1262" s="587">
        <f t="shared" si="103"/>
        <v>0</v>
      </c>
      <c r="P1262" s="587">
        <f t="shared" si="102"/>
        <v>0</v>
      </c>
    </row>
    <row r="1263" spans="2:16">
      <c r="B1263" s="587" t="s">
        <v>868</v>
      </c>
      <c r="C1263" s="587" t="s">
        <v>869</v>
      </c>
      <c r="D1263" s="587" t="s">
        <v>873</v>
      </c>
      <c r="E1263" s="587"/>
      <c r="F1263" s="587" t="str">
        <f t="shared" si="99"/>
        <v>Tramway</v>
      </c>
      <c r="G1263" s="587">
        <f t="shared" si="100"/>
        <v>1</v>
      </c>
      <c r="H1263" s="587"/>
      <c r="I1263" s="587">
        <v>45</v>
      </c>
      <c r="J1263" s="587">
        <f t="shared" si="101"/>
        <v>4.8833333333333326E-2</v>
      </c>
      <c r="K1263" s="587"/>
      <c r="L1263" s="587"/>
      <c r="M1263" s="587">
        <f t="shared" si="103"/>
        <v>1</v>
      </c>
      <c r="N1263" s="587">
        <f t="shared" si="103"/>
        <v>0</v>
      </c>
      <c r="O1263" s="587">
        <f t="shared" si="103"/>
        <v>0</v>
      </c>
      <c r="P1263" s="587">
        <f t="shared" si="102"/>
        <v>0</v>
      </c>
    </row>
    <row r="1264" spans="2:16">
      <c r="B1264" s="587" t="s">
        <v>868</v>
      </c>
      <c r="C1264" s="587" t="s">
        <v>869</v>
      </c>
      <c r="D1264" s="587" t="s">
        <v>873</v>
      </c>
      <c r="E1264" s="587"/>
      <c r="F1264" s="587" t="str">
        <f t="shared" si="99"/>
        <v>Tramway</v>
      </c>
      <c r="G1264" s="587">
        <f t="shared" si="100"/>
        <v>1</v>
      </c>
      <c r="H1264" s="587"/>
      <c r="I1264" s="587">
        <v>25</v>
      </c>
      <c r="J1264" s="587">
        <f t="shared" si="101"/>
        <v>4.8833333333333326E-2</v>
      </c>
      <c r="K1264" s="587"/>
      <c r="L1264" s="587"/>
      <c r="M1264" s="587">
        <f t="shared" si="103"/>
        <v>1</v>
      </c>
      <c r="N1264" s="587">
        <f t="shared" si="103"/>
        <v>0</v>
      </c>
      <c r="O1264" s="587">
        <f t="shared" si="103"/>
        <v>0</v>
      </c>
      <c r="P1264" s="587">
        <f t="shared" si="102"/>
        <v>0</v>
      </c>
    </row>
    <row r="1265" spans="2:16">
      <c r="B1265" s="587" t="s">
        <v>868</v>
      </c>
      <c r="C1265" s="587" t="s">
        <v>869</v>
      </c>
      <c r="D1265" s="587" t="s">
        <v>872</v>
      </c>
      <c r="E1265" s="587"/>
      <c r="F1265" s="587" t="str">
        <f t="shared" si="99"/>
        <v>Vélo personnel (y compris vélo à assistance électrique)</v>
      </c>
      <c r="G1265" s="587">
        <f t="shared" si="100"/>
        <v>7</v>
      </c>
      <c r="H1265" s="587"/>
      <c r="I1265" s="587">
        <v>10</v>
      </c>
      <c r="J1265" s="587">
        <f t="shared" si="101"/>
        <v>0</v>
      </c>
      <c r="K1265" s="587"/>
      <c r="L1265" s="587"/>
      <c r="M1265" s="587">
        <f t="shared" si="103"/>
        <v>7</v>
      </c>
      <c r="N1265" s="587">
        <f t="shared" si="103"/>
        <v>0</v>
      </c>
      <c r="O1265" s="587">
        <f t="shared" si="103"/>
        <v>0</v>
      </c>
      <c r="P1265" s="587">
        <f t="shared" si="102"/>
        <v>0</v>
      </c>
    </row>
    <row r="1266" spans="2:16">
      <c r="B1266" s="587" t="s">
        <v>868</v>
      </c>
      <c r="C1266" s="587" t="s">
        <v>869</v>
      </c>
      <c r="D1266" s="587" t="s">
        <v>871</v>
      </c>
      <c r="E1266" s="587"/>
      <c r="F1266" s="587" t="str">
        <f t="shared" si="99"/>
        <v>Marche à pied (exclusivement sur tout le trajet)</v>
      </c>
      <c r="G1266" s="587">
        <f t="shared" si="100"/>
        <v>7</v>
      </c>
      <c r="H1266" s="587"/>
      <c r="I1266" s="587">
        <v>2</v>
      </c>
      <c r="J1266" s="587">
        <f t="shared" si="101"/>
        <v>0</v>
      </c>
      <c r="K1266" s="587"/>
      <c r="L1266" s="587"/>
      <c r="M1266" s="587">
        <f t="shared" si="103"/>
        <v>7</v>
      </c>
      <c r="N1266" s="587">
        <f t="shared" si="103"/>
        <v>0</v>
      </c>
      <c r="O1266" s="587">
        <f t="shared" si="103"/>
        <v>0</v>
      </c>
      <c r="P1266" s="587">
        <f t="shared" si="102"/>
        <v>0</v>
      </c>
    </row>
    <row r="1267" spans="2:16">
      <c r="B1267" s="587" t="s">
        <v>868</v>
      </c>
      <c r="C1267" s="587" t="s">
        <v>869</v>
      </c>
      <c r="D1267" s="587" t="s">
        <v>872</v>
      </c>
      <c r="E1267" s="587"/>
      <c r="F1267" s="587" t="str">
        <f t="shared" si="99"/>
        <v>Vélo personnel (y compris vélo à assistance électrique)</v>
      </c>
      <c r="G1267" s="587">
        <f t="shared" si="100"/>
        <v>7</v>
      </c>
      <c r="H1267" s="587"/>
      <c r="I1267" s="587">
        <v>8</v>
      </c>
      <c r="J1267" s="587">
        <f t="shared" si="101"/>
        <v>0</v>
      </c>
      <c r="K1267" s="587"/>
      <c r="L1267" s="587"/>
      <c r="M1267" s="587">
        <f t="shared" si="103"/>
        <v>7</v>
      </c>
      <c r="N1267" s="587">
        <f t="shared" si="103"/>
        <v>0</v>
      </c>
      <c r="O1267" s="587">
        <f t="shared" si="103"/>
        <v>0</v>
      </c>
      <c r="P1267" s="587">
        <f t="shared" si="102"/>
        <v>0</v>
      </c>
    </row>
    <row r="1268" spans="2:16">
      <c r="B1268" s="587" t="s">
        <v>868</v>
      </c>
      <c r="C1268" s="587" t="s">
        <v>869</v>
      </c>
      <c r="D1268" s="587" t="s">
        <v>871</v>
      </c>
      <c r="E1268" s="587"/>
      <c r="F1268" s="587" t="str">
        <f t="shared" si="99"/>
        <v>Marche à pied (exclusivement sur tout le trajet)</v>
      </c>
      <c r="G1268" s="587">
        <f t="shared" si="100"/>
        <v>7</v>
      </c>
      <c r="H1268" s="587"/>
      <c r="I1268" s="587">
        <v>15</v>
      </c>
      <c r="J1268" s="587">
        <f t="shared" si="101"/>
        <v>0</v>
      </c>
      <c r="K1268" s="587"/>
      <c r="L1268" s="587"/>
      <c r="M1268" s="587">
        <f t="shared" si="103"/>
        <v>7</v>
      </c>
      <c r="N1268" s="587">
        <f t="shared" si="103"/>
        <v>0</v>
      </c>
      <c r="O1268" s="587">
        <f t="shared" si="103"/>
        <v>0</v>
      </c>
      <c r="P1268" s="587">
        <f t="shared" si="102"/>
        <v>0</v>
      </c>
    </row>
    <row r="1269" spans="2:16">
      <c r="B1269" s="587" t="s">
        <v>868</v>
      </c>
      <c r="C1269" s="587" t="s">
        <v>869</v>
      </c>
      <c r="D1269" s="587" t="s">
        <v>871</v>
      </c>
      <c r="E1269" s="587"/>
      <c r="F1269" s="587" t="str">
        <f t="shared" si="99"/>
        <v>Marche à pied (exclusivement sur tout le trajet)</v>
      </c>
      <c r="G1269" s="587">
        <f t="shared" si="100"/>
        <v>7</v>
      </c>
      <c r="H1269" s="587"/>
      <c r="I1269" s="587">
        <v>5</v>
      </c>
      <c r="J1269" s="587">
        <f t="shared" si="101"/>
        <v>0</v>
      </c>
      <c r="K1269" s="587"/>
      <c r="L1269" s="587"/>
      <c r="M1269" s="587">
        <f t="shared" si="103"/>
        <v>7</v>
      </c>
      <c r="N1269" s="587">
        <f t="shared" si="103"/>
        <v>0</v>
      </c>
      <c r="O1269" s="587">
        <f t="shared" si="103"/>
        <v>0</v>
      </c>
      <c r="P1269" s="587">
        <f t="shared" si="102"/>
        <v>0</v>
      </c>
    </row>
    <row r="1270" spans="2:16">
      <c r="B1270" s="587" t="s">
        <v>868</v>
      </c>
      <c r="C1270" s="587" t="s">
        <v>869</v>
      </c>
      <c r="D1270" s="587" t="s">
        <v>871</v>
      </c>
      <c r="E1270" s="587"/>
      <c r="F1270" s="587" t="str">
        <f t="shared" si="99"/>
        <v>Marche à pied (exclusivement sur tout le trajet)</v>
      </c>
      <c r="G1270" s="587">
        <f t="shared" si="100"/>
        <v>7</v>
      </c>
      <c r="H1270" s="587"/>
      <c r="I1270" s="587">
        <v>7</v>
      </c>
      <c r="J1270" s="587">
        <f t="shared" si="101"/>
        <v>0</v>
      </c>
      <c r="K1270" s="587"/>
      <c r="L1270" s="587"/>
      <c r="M1270" s="587">
        <f t="shared" si="103"/>
        <v>7</v>
      </c>
      <c r="N1270" s="587">
        <f t="shared" si="103"/>
        <v>0</v>
      </c>
      <c r="O1270" s="587">
        <f t="shared" si="103"/>
        <v>0</v>
      </c>
      <c r="P1270" s="587">
        <f t="shared" si="102"/>
        <v>0</v>
      </c>
    </row>
    <row r="1271" spans="2:16">
      <c r="B1271" s="587" t="s">
        <v>868</v>
      </c>
      <c r="C1271" s="587" t="s">
        <v>869</v>
      </c>
      <c r="D1271" s="587"/>
      <c r="E1271" s="587" t="s">
        <v>870</v>
      </c>
      <c r="F1271" s="587" t="str">
        <f t="shared" si="99"/>
        <v>Métro</v>
      </c>
      <c r="G1271" s="587">
        <f t="shared" si="100"/>
        <v>1</v>
      </c>
      <c r="H1271" s="587"/>
      <c r="I1271" s="587">
        <v>25</v>
      </c>
      <c r="J1271" s="587">
        <f t="shared" si="101"/>
        <v>4.8833333333333326E-2</v>
      </c>
      <c r="K1271" s="587"/>
      <c r="L1271" s="587"/>
      <c r="M1271" s="587">
        <f t="shared" si="103"/>
        <v>1</v>
      </c>
      <c r="N1271" s="587">
        <f t="shared" si="103"/>
        <v>0</v>
      </c>
      <c r="O1271" s="587">
        <f t="shared" si="103"/>
        <v>0</v>
      </c>
      <c r="P1271" s="587">
        <f t="shared" si="102"/>
        <v>0</v>
      </c>
    </row>
    <row r="1272" spans="2:16">
      <c r="B1272" s="587" t="s">
        <v>868</v>
      </c>
      <c r="C1272" s="587" t="s">
        <v>869</v>
      </c>
      <c r="D1272" s="587" t="s">
        <v>872</v>
      </c>
      <c r="E1272" s="587"/>
      <c r="F1272" s="587" t="str">
        <f t="shared" si="99"/>
        <v>Vélo personnel (y compris vélo à assistance électrique)</v>
      </c>
      <c r="G1272" s="587">
        <f t="shared" si="100"/>
        <v>7</v>
      </c>
      <c r="H1272" s="587"/>
      <c r="I1272" s="587">
        <v>5</v>
      </c>
      <c r="J1272" s="587">
        <f t="shared" si="101"/>
        <v>0</v>
      </c>
      <c r="K1272" s="587"/>
      <c r="L1272" s="587"/>
      <c r="M1272" s="587">
        <f t="shared" si="103"/>
        <v>7</v>
      </c>
      <c r="N1272" s="587">
        <f t="shared" si="103"/>
        <v>0</v>
      </c>
      <c r="O1272" s="587">
        <f t="shared" si="103"/>
        <v>0</v>
      </c>
      <c r="P1272" s="587">
        <f t="shared" si="102"/>
        <v>0</v>
      </c>
    </row>
    <row r="1273" spans="2:16">
      <c r="B1273" s="587" t="s">
        <v>868</v>
      </c>
      <c r="C1273" s="587" t="s">
        <v>869</v>
      </c>
      <c r="D1273" s="587" t="s">
        <v>871</v>
      </c>
      <c r="E1273" s="587"/>
      <c r="F1273" s="587" t="str">
        <f t="shared" si="99"/>
        <v>Marche à pied (exclusivement sur tout le trajet)</v>
      </c>
      <c r="G1273" s="587">
        <f t="shared" si="100"/>
        <v>7</v>
      </c>
      <c r="H1273" s="587"/>
      <c r="I1273" s="587">
        <v>12</v>
      </c>
      <c r="J1273" s="587">
        <f t="shared" si="101"/>
        <v>0</v>
      </c>
      <c r="K1273" s="587"/>
      <c r="L1273" s="587"/>
      <c r="M1273" s="587">
        <f t="shared" si="103"/>
        <v>7</v>
      </c>
      <c r="N1273" s="587">
        <f t="shared" si="103"/>
        <v>0</v>
      </c>
      <c r="O1273" s="587">
        <f t="shared" si="103"/>
        <v>0</v>
      </c>
      <c r="P1273" s="587">
        <f t="shared" si="102"/>
        <v>0</v>
      </c>
    </row>
    <row r="1274" spans="2:16">
      <c r="B1274" s="587" t="s">
        <v>868</v>
      </c>
      <c r="C1274" s="587" t="s">
        <v>869</v>
      </c>
      <c r="D1274" s="587" t="s">
        <v>872</v>
      </c>
      <c r="E1274" s="587"/>
      <c r="F1274" s="587" t="str">
        <f t="shared" si="99"/>
        <v>Vélo personnel (y compris vélo à assistance électrique)</v>
      </c>
      <c r="G1274" s="587">
        <f t="shared" si="100"/>
        <v>7</v>
      </c>
      <c r="H1274" s="587"/>
      <c r="I1274" s="587">
        <v>10</v>
      </c>
      <c r="J1274" s="587">
        <f t="shared" si="101"/>
        <v>0</v>
      </c>
      <c r="K1274" s="587"/>
      <c r="L1274" s="587"/>
      <c r="M1274" s="587">
        <f t="shared" si="103"/>
        <v>7</v>
      </c>
      <c r="N1274" s="587">
        <f t="shared" si="103"/>
        <v>0</v>
      </c>
      <c r="O1274" s="587">
        <f t="shared" si="103"/>
        <v>0</v>
      </c>
      <c r="P1274" s="587">
        <f t="shared" si="102"/>
        <v>0</v>
      </c>
    </row>
    <row r="1275" spans="2:16">
      <c r="B1275" s="587" t="s">
        <v>868</v>
      </c>
      <c r="C1275" s="587" t="s">
        <v>869</v>
      </c>
      <c r="D1275" s="587" t="s">
        <v>871</v>
      </c>
      <c r="E1275" s="587"/>
      <c r="F1275" s="587" t="str">
        <f t="shared" si="99"/>
        <v>Marche à pied (exclusivement sur tout le trajet)</v>
      </c>
      <c r="G1275" s="587">
        <f t="shared" si="100"/>
        <v>7</v>
      </c>
      <c r="H1275" s="587"/>
      <c r="I1275" s="587">
        <v>12</v>
      </c>
      <c r="J1275" s="587">
        <f t="shared" si="101"/>
        <v>0</v>
      </c>
      <c r="K1275" s="587"/>
      <c r="L1275" s="587"/>
      <c r="M1275" s="587">
        <f t="shared" si="103"/>
        <v>7</v>
      </c>
      <c r="N1275" s="587">
        <f t="shared" si="103"/>
        <v>0</v>
      </c>
      <c r="O1275" s="587">
        <f t="shared" si="103"/>
        <v>0</v>
      </c>
      <c r="P1275" s="587">
        <f t="shared" si="102"/>
        <v>0</v>
      </c>
    </row>
    <row r="1276" spans="2:16">
      <c r="B1276" s="587" t="s">
        <v>868</v>
      </c>
      <c r="C1276" s="587" t="s">
        <v>869</v>
      </c>
      <c r="D1276" s="587" t="s">
        <v>872</v>
      </c>
      <c r="E1276" s="587"/>
      <c r="F1276" s="587" t="str">
        <f t="shared" ref="F1276:F1338" si="104">IF(D1276="",E1276,D1276)</f>
        <v>Vélo personnel (y compris vélo à assistance électrique)</v>
      </c>
      <c r="G1276" s="587">
        <f t="shared" ref="G1276:G1338" si="105">IF(F1276="Métro",1,IF(F1276="Tramway",1,IF(F1276="Vélo'v",7,IF(F1276="Marche à pied (exclusivement sur tout le trajet)",7,IF(F1276="Vélo personnel (y compris vélo à assistance électrique)",7,IF(F1276="Trottinette, roller, skateboard,…",7,IF(F1276="Marche à pied au-delà de 5 minutes",7,IF(F1276="Voiture (seul(e))",3,IF(F1276="Bus",2,IF(F1276="Trottinette, roller, skateboard au-delà de 5 minutes",7,IF(F1276="Covoiturage (passager(ère))",4,IF(F1276="Trottinette, roller, skateboard,...",7,IF(F1276="Vélo’v",7,IF(F1276="Train (TER,TGV,...)",6,IF(F1276="Deux roues motorisées (moto, scooter, mobylette,…)",5,IF(F1276="Covoiturage (conducteur(trice))",4,IF(F1276="Train (TER,..)",6,0)))))))))))))))))</f>
        <v>7</v>
      </c>
      <c r="H1276" s="587"/>
      <c r="I1276" s="587">
        <v>10</v>
      </c>
      <c r="J1276" s="587">
        <f t="shared" ref="J1276:J1338" si="106">IF(G1276=1,$C$6*($I$28*$K$6)/$J$6,IF(G1276=2,$C$7*($I$28*$K$7)/$J$7,IF(G1276=3,$C$8*$I$28*$K$8/$J$8,IF(G1276=4,$C$9*$I$28*$K$9/$J$9,IF(G1276=5,$C$10*$I$28*$K$10/$J$10,IF(G1276=6,$C$11*$K$11*$I$28/$J$11,0))))))</f>
        <v>0</v>
      </c>
      <c r="K1276" s="587"/>
      <c r="L1276" s="587"/>
      <c r="M1276" s="587">
        <f t="shared" si="103"/>
        <v>7</v>
      </c>
      <c r="N1276" s="587">
        <f t="shared" si="103"/>
        <v>0</v>
      </c>
      <c r="O1276" s="587">
        <f t="shared" si="103"/>
        <v>0</v>
      </c>
      <c r="P1276" s="587">
        <f t="shared" si="102"/>
        <v>0</v>
      </c>
    </row>
    <row r="1277" spans="2:16">
      <c r="B1277" s="587" t="s">
        <v>868</v>
      </c>
      <c r="C1277" s="587" t="s">
        <v>869</v>
      </c>
      <c r="D1277" s="587" t="s">
        <v>871</v>
      </c>
      <c r="E1277" s="587"/>
      <c r="F1277" s="587" t="str">
        <f t="shared" si="104"/>
        <v>Marche à pied (exclusivement sur tout le trajet)</v>
      </c>
      <c r="G1277" s="587">
        <f t="shared" si="105"/>
        <v>7</v>
      </c>
      <c r="H1277" s="587"/>
      <c r="I1277" s="587">
        <v>7</v>
      </c>
      <c r="J1277" s="587">
        <f t="shared" si="106"/>
        <v>0</v>
      </c>
      <c r="K1277" s="587"/>
      <c r="L1277" s="587"/>
      <c r="M1277" s="587">
        <f t="shared" si="103"/>
        <v>7</v>
      </c>
      <c r="N1277" s="587">
        <f t="shared" si="103"/>
        <v>0</v>
      </c>
      <c r="O1277" s="587">
        <f t="shared" si="103"/>
        <v>0</v>
      </c>
      <c r="P1277" s="587">
        <f t="shared" si="102"/>
        <v>0</v>
      </c>
    </row>
    <row r="1278" spans="2:16">
      <c r="B1278" s="587" t="s">
        <v>868</v>
      </c>
      <c r="C1278" s="587" t="s">
        <v>869</v>
      </c>
      <c r="D1278" s="587" t="s">
        <v>871</v>
      </c>
      <c r="E1278" s="587"/>
      <c r="F1278" s="587" t="str">
        <f t="shared" si="104"/>
        <v>Marche à pied (exclusivement sur tout le trajet)</v>
      </c>
      <c r="G1278" s="587">
        <f t="shared" si="105"/>
        <v>7</v>
      </c>
      <c r="H1278" s="587"/>
      <c r="I1278" s="587">
        <v>2</v>
      </c>
      <c r="J1278" s="587">
        <f t="shared" si="106"/>
        <v>0</v>
      </c>
      <c r="K1278" s="587"/>
      <c r="L1278" s="587"/>
      <c r="M1278" s="587">
        <f t="shared" si="103"/>
        <v>7</v>
      </c>
      <c r="N1278" s="587">
        <f t="shared" si="103"/>
        <v>0</v>
      </c>
      <c r="O1278" s="587">
        <f t="shared" si="103"/>
        <v>0</v>
      </c>
      <c r="P1278" s="587">
        <f t="shared" si="102"/>
        <v>0</v>
      </c>
    </row>
    <row r="1279" spans="2:16">
      <c r="B1279" s="587" t="s">
        <v>868</v>
      </c>
      <c r="C1279" s="587" t="s">
        <v>869</v>
      </c>
      <c r="D1279" s="587" t="s">
        <v>871</v>
      </c>
      <c r="E1279" s="587"/>
      <c r="F1279" s="587" t="str">
        <f t="shared" si="104"/>
        <v>Marche à pied (exclusivement sur tout le trajet)</v>
      </c>
      <c r="G1279" s="587">
        <f t="shared" si="105"/>
        <v>7</v>
      </c>
      <c r="H1279" s="587"/>
      <c r="I1279" s="587">
        <v>5</v>
      </c>
      <c r="J1279" s="587">
        <f t="shared" si="106"/>
        <v>0</v>
      </c>
      <c r="K1279" s="587"/>
      <c r="L1279" s="587"/>
      <c r="M1279" s="587">
        <f t="shared" si="103"/>
        <v>7</v>
      </c>
      <c r="N1279" s="587">
        <f t="shared" si="103"/>
        <v>0</v>
      </c>
      <c r="O1279" s="587">
        <f t="shared" si="103"/>
        <v>0</v>
      </c>
      <c r="P1279" s="587">
        <f t="shared" si="102"/>
        <v>0</v>
      </c>
    </row>
    <row r="1280" spans="2:16">
      <c r="B1280" s="587" t="s">
        <v>868</v>
      </c>
      <c r="C1280" s="587" t="s">
        <v>869</v>
      </c>
      <c r="D1280" s="587"/>
      <c r="E1280" s="587" t="s">
        <v>878</v>
      </c>
      <c r="F1280" s="587" t="str">
        <f t="shared" si="104"/>
        <v>Marche à pied au-delà de 5 minutes</v>
      </c>
      <c r="G1280" s="587">
        <f t="shared" si="105"/>
        <v>7</v>
      </c>
      <c r="H1280" s="587"/>
      <c r="I1280" s="587">
        <v>10</v>
      </c>
      <c r="J1280" s="587">
        <f t="shared" si="106"/>
        <v>0</v>
      </c>
      <c r="K1280" s="587"/>
      <c r="L1280" s="587"/>
      <c r="M1280" s="587">
        <f t="shared" si="103"/>
        <v>7</v>
      </c>
      <c r="N1280" s="587">
        <f t="shared" si="103"/>
        <v>0</v>
      </c>
      <c r="O1280" s="587">
        <f t="shared" si="103"/>
        <v>0</v>
      </c>
      <c r="P1280" s="587">
        <f t="shared" si="102"/>
        <v>0</v>
      </c>
    </row>
    <row r="1281" spans="2:16">
      <c r="B1281" s="587" t="s">
        <v>868</v>
      </c>
      <c r="C1281" s="587" t="s">
        <v>869</v>
      </c>
      <c r="D1281" s="587" t="s">
        <v>871</v>
      </c>
      <c r="E1281" s="587"/>
      <c r="F1281" s="587" t="str">
        <f t="shared" si="104"/>
        <v>Marche à pied (exclusivement sur tout le trajet)</v>
      </c>
      <c r="G1281" s="587">
        <f t="shared" si="105"/>
        <v>7</v>
      </c>
      <c r="H1281" s="587"/>
      <c r="I1281" s="587">
        <v>12</v>
      </c>
      <c r="J1281" s="587">
        <f t="shared" si="106"/>
        <v>0</v>
      </c>
      <c r="K1281" s="587"/>
      <c r="L1281" s="587"/>
      <c r="M1281" s="587">
        <f t="shared" si="103"/>
        <v>7</v>
      </c>
      <c r="N1281" s="587">
        <f t="shared" si="103"/>
        <v>0</v>
      </c>
      <c r="O1281" s="587">
        <f t="shared" si="103"/>
        <v>0</v>
      </c>
      <c r="P1281" s="587">
        <f t="shared" si="102"/>
        <v>0</v>
      </c>
    </row>
    <row r="1282" spans="2:16">
      <c r="B1282" s="587" t="s">
        <v>868</v>
      </c>
      <c r="C1282" s="587" t="s">
        <v>875</v>
      </c>
      <c r="D1282" s="587"/>
      <c r="E1282" s="587" t="s">
        <v>879</v>
      </c>
      <c r="F1282" s="587" t="str">
        <f t="shared" si="104"/>
        <v>Voiture (seul(e))</v>
      </c>
      <c r="G1282" s="587">
        <f t="shared" si="105"/>
        <v>3</v>
      </c>
      <c r="H1282" s="587"/>
      <c r="I1282" s="587">
        <v>60</v>
      </c>
      <c r="J1282" s="587">
        <f t="shared" si="106"/>
        <v>2.7600000000000002</v>
      </c>
      <c r="K1282" s="587"/>
      <c r="L1282" s="587"/>
      <c r="M1282" s="587">
        <f t="shared" si="103"/>
        <v>0</v>
      </c>
      <c r="N1282" s="587">
        <f t="shared" si="103"/>
        <v>3</v>
      </c>
      <c r="O1282" s="587">
        <f t="shared" si="103"/>
        <v>0</v>
      </c>
      <c r="P1282" s="587">
        <f t="shared" si="102"/>
        <v>0</v>
      </c>
    </row>
    <row r="1283" spans="2:16">
      <c r="B1283" s="587" t="s">
        <v>868</v>
      </c>
      <c r="C1283" s="587" t="s">
        <v>869</v>
      </c>
      <c r="D1283" s="587" t="s">
        <v>872</v>
      </c>
      <c r="E1283" s="587"/>
      <c r="F1283" s="587" t="str">
        <f t="shared" si="104"/>
        <v>Vélo personnel (y compris vélo à assistance électrique)</v>
      </c>
      <c r="G1283" s="587">
        <f t="shared" si="105"/>
        <v>7</v>
      </c>
      <c r="H1283" s="587"/>
      <c r="I1283" s="587">
        <v>8</v>
      </c>
      <c r="J1283" s="587">
        <f t="shared" si="106"/>
        <v>0</v>
      </c>
      <c r="K1283" s="587"/>
      <c r="L1283" s="587"/>
      <c r="M1283" s="587">
        <f t="shared" si="103"/>
        <v>7</v>
      </c>
      <c r="N1283" s="587">
        <f t="shared" si="103"/>
        <v>0</v>
      </c>
      <c r="O1283" s="587">
        <f t="shared" si="103"/>
        <v>0</v>
      </c>
      <c r="P1283" s="587">
        <f t="shared" si="102"/>
        <v>0</v>
      </c>
    </row>
    <row r="1284" spans="2:16">
      <c r="B1284" s="587" t="s">
        <v>868</v>
      </c>
      <c r="C1284" s="587" t="s">
        <v>869</v>
      </c>
      <c r="D1284" s="587" t="s">
        <v>871</v>
      </c>
      <c r="E1284" s="587"/>
      <c r="F1284" s="587" t="str">
        <f t="shared" si="104"/>
        <v>Marche à pied (exclusivement sur tout le trajet)</v>
      </c>
      <c r="G1284" s="587">
        <f t="shared" si="105"/>
        <v>7</v>
      </c>
      <c r="H1284" s="587"/>
      <c r="I1284" s="587">
        <v>10</v>
      </c>
      <c r="J1284" s="587">
        <f t="shared" si="106"/>
        <v>0</v>
      </c>
      <c r="K1284" s="587"/>
      <c r="L1284" s="587"/>
      <c r="M1284" s="587">
        <f t="shared" si="103"/>
        <v>7</v>
      </c>
      <c r="N1284" s="587">
        <f t="shared" si="103"/>
        <v>0</v>
      </c>
      <c r="O1284" s="587">
        <f t="shared" si="103"/>
        <v>0</v>
      </c>
      <c r="P1284" s="587">
        <f t="shared" si="102"/>
        <v>0</v>
      </c>
    </row>
    <row r="1285" spans="2:16">
      <c r="B1285" s="587" t="s">
        <v>868</v>
      </c>
      <c r="C1285" s="587" t="s">
        <v>869</v>
      </c>
      <c r="D1285" s="587" t="s">
        <v>872</v>
      </c>
      <c r="E1285" s="587"/>
      <c r="F1285" s="587" t="str">
        <f t="shared" si="104"/>
        <v>Vélo personnel (y compris vélo à assistance électrique)</v>
      </c>
      <c r="G1285" s="587">
        <f t="shared" si="105"/>
        <v>7</v>
      </c>
      <c r="H1285" s="587"/>
      <c r="I1285" s="587">
        <v>8</v>
      </c>
      <c r="J1285" s="587">
        <f t="shared" si="106"/>
        <v>0</v>
      </c>
      <c r="K1285" s="587"/>
      <c r="L1285" s="587"/>
      <c r="M1285" s="587">
        <f t="shared" si="103"/>
        <v>7</v>
      </c>
      <c r="N1285" s="587">
        <f t="shared" si="103"/>
        <v>0</v>
      </c>
      <c r="O1285" s="587">
        <f t="shared" si="103"/>
        <v>0</v>
      </c>
      <c r="P1285" s="587">
        <f t="shared" si="102"/>
        <v>0</v>
      </c>
    </row>
    <row r="1286" spans="2:16">
      <c r="B1286" s="587" t="s">
        <v>868</v>
      </c>
      <c r="C1286" s="587" t="s">
        <v>869</v>
      </c>
      <c r="D1286" s="587" t="s">
        <v>871</v>
      </c>
      <c r="E1286" s="587"/>
      <c r="F1286" s="587" t="str">
        <f t="shared" si="104"/>
        <v>Marche à pied (exclusivement sur tout le trajet)</v>
      </c>
      <c r="G1286" s="587">
        <f t="shared" si="105"/>
        <v>7</v>
      </c>
      <c r="H1286" s="587"/>
      <c r="I1286" s="587">
        <v>10</v>
      </c>
      <c r="J1286" s="587">
        <f t="shared" si="106"/>
        <v>0</v>
      </c>
      <c r="K1286" s="587"/>
      <c r="L1286" s="587"/>
      <c r="M1286" s="587">
        <f t="shared" si="103"/>
        <v>7</v>
      </c>
      <c r="N1286" s="587">
        <f t="shared" si="103"/>
        <v>0</v>
      </c>
      <c r="O1286" s="587">
        <f t="shared" si="103"/>
        <v>0</v>
      </c>
      <c r="P1286" s="587">
        <f t="shared" si="102"/>
        <v>0</v>
      </c>
    </row>
    <row r="1287" spans="2:16">
      <c r="B1287" s="587" t="s">
        <v>868</v>
      </c>
      <c r="C1287" s="587" t="s">
        <v>869</v>
      </c>
      <c r="D1287" s="587" t="s">
        <v>872</v>
      </c>
      <c r="E1287" s="587"/>
      <c r="F1287" s="587" t="str">
        <f t="shared" si="104"/>
        <v>Vélo personnel (y compris vélo à assistance électrique)</v>
      </c>
      <c r="G1287" s="587">
        <f t="shared" si="105"/>
        <v>7</v>
      </c>
      <c r="H1287" s="587"/>
      <c r="I1287" s="587">
        <v>20</v>
      </c>
      <c r="J1287" s="587">
        <f t="shared" si="106"/>
        <v>0</v>
      </c>
      <c r="K1287" s="587"/>
      <c r="L1287" s="587"/>
      <c r="M1287" s="587">
        <f t="shared" si="103"/>
        <v>7</v>
      </c>
      <c r="N1287" s="587">
        <f t="shared" si="103"/>
        <v>0</v>
      </c>
      <c r="O1287" s="587">
        <f t="shared" si="103"/>
        <v>0</v>
      </c>
      <c r="P1287" s="587">
        <f t="shared" si="102"/>
        <v>0</v>
      </c>
    </row>
    <row r="1288" spans="2:16">
      <c r="B1288" s="587" t="s">
        <v>868</v>
      </c>
      <c r="C1288" s="587" t="s">
        <v>869</v>
      </c>
      <c r="D1288" s="587" t="s">
        <v>883</v>
      </c>
      <c r="E1288" s="587"/>
      <c r="F1288" s="587" t="str">
        <f t="shared" si="104"/>
        <v>Covoiturage (passager(ère))</v>
      </c>
      <c r="G1288" s="587">
        <f t="shared" si="105"/>
        <v>4</v>
      </c>
      <c r="H1288" s="587"/>
      <c r="I1288" s="587">
        <v>105</v>
      </c>
      <c r="J1288" s="587">
        <f t="shared" si="106"/>
        <v>0.69000000000000006</v>
      </c>
      <c r="K1288" s="587"/>
      <c r="L1288" s="587"/>
      <c r="M1288" s="587">
        <f t="shared" si="103"/>
        <v>4</v>
      </c>
      <c r="N1288" s="587">
        <f t="shared" si="103"/>
        <v>0</v>
      </c>
      <c r="O1288" s="587">
        <f t="shared" si="103"/>
        <v>0</v>
      </c>
      <c r="P1288" s="587">
        <f t="shared" si="102"/>
        <v>0</v>
      </c>
    </row>
    <row r="1289" spans="2:16">
      <c r="B1289" s="587" t="s">
        <v>868</v>
      </c>
      <c r="C1289" s="587" t="s">
        <v>869</v>
      </c>
      <c r="D1289" s="587" t="s">
        <v>871</v>
      </c>
      <c r="E1289" s="587"/>
      <c r="F1289" s="587" t="str">
        <f t="shared" si="104"/>
        <v>Marche à pied (exclusivement sur tout le trajet)</v>
      </c>
      <c r="G1289" s="587">
        <f t="shared" si="105"/>
        <v>7</v>
      </c>
      <c r="H1289" s="587"/>
      <c r="I1289" s="587">
        <v>10</v>
      </c>
      <c r="J1289" s="587">
        <f t="shared" si="106"/>
        <v>0</v>
      </c>
      <c r="K1289" s="587"/>
      <c r="L1289" s="587"/>
      <c r="M1289" s="587">
        <f t="shared" si="103"/>
        <v>7</v>
      </c>
      <c r="N1289" s="587">
        <f t="shared" si="103"/>
        <v>0</v>
      </c>
      <c r="O1289" s="587">
        <f t="shared" si="103"/>
        <v>0</v>
      </c>
      <c r="P1289" s="587">
        <f t="shared" si="102"/>
        <v>0</v>
      </c>
    </row>
    <row r="1290" spans="2:16">
      <c r="B1290" s="587" t="s">
        <v>868</v>
      </c>
      <c r="C1290" s="587" t="s">
        <v>869</v>
      </c>
      <c r="D1290" s="587" t="s">
        <v>872</v>
      </c>
      <c r="E1290" s="587"/>
      <c r="F1290" s="587" t="str">
        <f t="shared" si="104"/>
        <v>Vélo personnel (y compris vélo à assistance électrique)</v>
      </c>
      <c r="G1290" s="587">
        <f t="shared" si="105"/>
        <v>7</v>
      </c>
      <c r="H1290" s="587"/>
      <c r="I1290" s="587">
        <v>7</v>
      </c>
      <c r="J1290" s="587">
        <f t="shared" si="106"/>
        <v>0</v>
      </c>
      <c r="K1290" s="587"/>
      <c r="L1290" s="587"/>
      <c r="M1290" s="587">
        <f t="shared" si="103"/>
        <v>7</v>
      </c>
      <c r="N1290" s="587">
        <f t="shared" si="103"/>
        <v>0</v>
      </c>
      <c r="O1290" s="587">
        <f t="shared" si="103"/>
        <v>0</v>
      </c>
      <c r="P1290" s="587">
        <f t="shared" si="102"/>
        <v>0</v>
      </c>
    </row>
    <row r="1291" spans="2:16">
      <c r="B1291" s="587" t="s">
        <v>868</v>
      </c>
      <c r="C1291" s="587" t="s">
        <v>869</v>
      </c>
      <c r="D1291" s="587" t="s">
        <v>871</v>
      </c>
      <c r="E1291" s="587"/>
      <c r="F1291" s="587" t="str">
        <f t="shared" si="104"/>
        <v>Marche à pied (exclusivement sur tout le trajet)</v>
      </c>
      <c r="G1291" s="587">
        <f t="shared" si="105"/>
        <v>7</v>
      </c>
      <c r="H1291" s="587"/>
      <c r="I1291" s="587">
        <v>10</v>
      </c>
      <c r="J1291" s="587">
        <f t="shared" si="106"/>
        <v>0</v>
      </c>
      <c r="K1291" s="587"/>
      <c r="L1291" s="587"/>
      <c r="M1291" s="587">
        <f t="shared" si="103"/>
        <v>7</v>
      </c>
      <c r="N1291" s="587">
        <f t="shared" si="103"/>
        <v>0</v>
      </c>
      <c r="O1291" s="587">
        <f t="shared" si="103"/>
        <v>0</v>
      </c>
      <c r="P1291" s="587">
        <f t="shared" si="102"/>
        <v>0</v>
      </c>
    </row>
    <row r="1292" spans="2:16">
      <c r="B1292" s="587" t="s">
        <v>868</v>
      </c>
      <c r="C1292" s="587" t="s">
        <v>869</v>
      </c>
      <c r="D1292" s="587" t="s">
        <v>871</v>
      </c>
      <c r="E1292" s="587"/>
      <c r="F1292" s="587" t="str">
        <f t="shared" si="104"/>
        <v>Marche à pied (exclusivement sur tout le trajet)</v>
      </c>
      <c r="G1292" s="587">
        <f t="shared" si="105"/>
        <v>7</v>
      </c>
      <c r="H1292" s="587"/>
      <c r="I1292" s="587">
        <v>3</v>
      </c>
      <c r="J1292" s="587">
        <f t="shared" si="106"/>
        <v>0</v>
      </c>
      <c r="K1292" s="587"/>
      <c r="L1292" s="587"/>
      <c r="M1292" s="587">
        <f t="shared" si="103"/>
        <v>7</v>
      </c>
      <c r="N1292" s="587">
        <f t="shared" si="103"/>
        <v>0</v>
      </c>
      <c r="O1292" s="587">
        <f t="shared" si="103"/>
        <v>0</v>
      </c>
      <c r="P1292" s="587">
        <f t="shared" si="102"/>
        <v>0</v>
      </c>
    </row>
    <row r="1293" spans="2:16">
      <c r="B1293" s="587" t="s">
        <v>868</v>
      </c>
      <c r="C1293" s="587" t="s">
        <v>869</v>
      </c>
      <c r="D1293" s="587" t="s">
        <v>872</v>
      </c>
      <c r="E1293" s="587"/>
      <c r="F1293" s="587" t="str">
        <f t="shared" si="104"/>
        <v>Vélo personnel (y compris vélo à assistance électrique)</v>
      </c>
      <c r="G1293" s="587">
        <f t="shared" si="105"/>
        <v>7</v>
      </c>
      <c r="H1293" s="587"/>
      <c r="I1293" s="587">
        <v>5</v>
      </c>
      <c r="J1293" s="587">
        <f t="shared" si="106"/>
        <v>0</v>
      </c>
      <c r="K1293" s="587"/>
      <c r="L1293" s="587"/>
      <c r="M1293" s="587">
        <f t="shared" si="103"/>
        <v>7</v>
      </c>
      <c r="N1293" s="587">
        <f t="shared" si="103"/>
        <v>0</v>
      </c>
      <c r="O1293" s="587">
        <f t="shared" si="103"/>
        <v>0</v>
      </c>
      <c r="P1293" s="587">
        <f t="shared" si="102"/>
        <v>0</v>
      </c>
    </row>
    <row r="1294" spans="2:16">
      <c r="B1294" s="587" t="s">
        <v>868</v>
      </c>
      <c r="C1294" s="587" t="s">
        <v>869</v>
      </c>
      <c r="D1294" s="587" t="s">
        <v>876</v>
      </c>
      <c r="E1294" s="587"/>
      <c r="F1294" s="587" t="str">
        <f t="shared" si="104"/>
        <v>Trottinette, roller, skateboard,...</v>
      </c>
      <c r="G1294" s="587">
        <f t="shared" si="105"/>
        <v>7</v>
      </c>
      <c r="H1294" s="587"/>
      <c r="I1294" s="587">
        <v>3</v>
      </c>
      <c r="J1294" s="587">
        <f t="shared" si="106"/>
        <v>0</v>
      </c>
      <c r="K1294" s="587"/>
      <c r="L1294" s="587"/>
      <c r="M1294" s="587">
        <f t="shared" si="103"/>
        <v>7</v>
      </c>
      <c r="N1294" s="587">
        <f t="shared" si="103"/>
        <v>0</v>
      </c>
      <c r="O1294" s="587">
        <f t="shared" si="103"/>
        <v>0</v>
      </c>
      <c r="P1294" s="587">
        <f t="shared" si="102"/>
        <v>0</v>
      </c>
    </row>
    <row r="1295" spans="2:16">
      <c r="B1295" s="587" t="s">
        <v>868</v>
      </c>
      <c r="C1295" s="587" t="s">
        <v>869</v>
      </c>
      <c r="D1295" s="587" t="s">
        <v>871</v>
      </c>
      <c r="E1295" s="587"/>
      <c r="F1295" s="587" t="str">
        <f t="shared" si="104"/>
        <v>Marche à pied (exclusivement sur tout le trajet)</v>
      </c>
      <c r="G1295" s="587">
        <f t="shared" si="105"/>
        <v>7</v>
      </c>
      <c r="H1295" s="587"/>
      <c r="I1295" s="587">
        <v>10</v>
      </c>
      <c r="J1295" s="587">
        <f t="shared" si="106"/>
        <v>0</v>
      </c>
      <c r="K1295" s="587"/>
      <c r="L1295" s="587"/>
      <c r="M1295" s="587">
        <f t="shared" si="103"/>
        <v>7</v>
      </c>
      <c r="N1295" s="587">
        <f t="shared" si="103"/>
        <v>0</v>
      </c>
      <c r="O1295" s="587">
        <f t="shared" si="103"/>
        <v>0</v>
      </c>
      <c r="P1295" s="587">
        <f t="shared" si="102"/>
        <v>0</v>
      </c>
    </row>
    <row r="1296" spans="2:16">
      <c r="B1296" s="587" t="s">
        <v>868</v>
      </c>
      <c r="C1296" s="587" t="s">
        <v>869</v>
      </c>
      <c r="D1296" s="587" t="s">
        <v>872</v>
      </c>
      <c r="E1296" s="587"/>
      <c r="F1296" s="587" t="str">
        <f t="shared" si="104"/>
        <v>Vélo personnel (y compris vélo à assistance électrique)</v>
      </c>
      <c r="G1296" s="587">
        <f t="shared" si="105"/>
        <v>7</v>
      </c>
      <c r="H1296" s="587"/>
      <c r="I1296" s="587">
        <v>6</v>
      </c>
      <c r="J1296" s="587">
        <f t="shared" si="106"/>
        <v>0</v>
      </c>
      <c r="K1296" s="587"/>
      <c r="L1296" s="587"/>
      <c r="M1296" s="587">
        <f t="shared" si="103"/>
        <v>7</v>
      </c>
      <c r="N1296" s="587">
        <f t="shared" si="103"/>
        <v>0</v>
      </c>
      <c r="O1296" s="587">
        <f t="shared" si="103"/>
        <v>0</v>
      </c>
      <c r="P1296" s="587">
        <f t="shared" si="102"/>
        <v>0</v>
      </c>
    </row>
    <row r="1297" spans="2:16">
      <c r="B1297" s="587" t="s">
        <v>868</v>
      </c>
      <c r="C1297" s="587" t="s">
        <v>869</v>
      </c>
      <c r="D1297" s="587"/>
      <c r="E1297" s="587" t="s">
        <v>872</v>
      </c>
      <c r="F1297" s="587" t="str">
        <f t="shared" si="104"/>
        <v>Vélo personnel (y compris vélo à assistance électrique)</v>
      </c>
      <c r="G1297" s="587">
        <f t="shared" si="105"/>
        <v>7</v>
      </c>
      <c r="H1297" s="587"/>
      <c r="I1297" s="587">
        <v>25</v>
      </c>
      <c r="J1297" s="587">
        <f t="shared" si="106"/>
        <v>0</v>
      </c>
      <c r="K1297" s="587"/>
      <c r="L1297" s="587"/>
      <c r="M1297" s="587">
        <f t="shared" si="103"/>
        <v>7</v>
      </c>
      <c r="N1297" s="587">
        <f t="shared" si="103"/>
        <v>0</v>
      </c>
      <c r="O1297" s="587">
        <f t="shared" si="103"/>
        <v>0</v>
      </c>
      <c r="P1297" s="587">
        <f t="shared" si="102"/>
        <v>0</v>
      </c>
    </row>
    <row r="1298" spans="2:16">
      <c r="B1298" s="587" t="s">
        <v>868</v>
      </c>
      <c r="C1298" s="587" t="s">
        <v>869</v>
      </c>
      <c r="D1298" s="587" t="s">
        <v>871</v>
      </c>
      <c r="E1298" s="587"/>
      <c r="F1298" s="587" t="str">
        <f t="shared" si="104"/>
        <v>Marche à pied (exclusivement sur tout le trajet)</v>
      </c>
      <c r="G1298" s="587">
        <f t="shared" si="105"/>
        <v>7</v>
      </c>
      <c r="H1298" s="587"/>
      <c r="I1298" s="587">
        <v>10</v>
      </c>
      <c r="J1298" s="587">
        <f t="shared" si="106"/>
        <v>0</v>
      </c>
      <c r="K1298" s="587"/>
      <c r="L1298" s="587"/>
      <c r="M1298" s="587">
        <f t="shared" si="103"/>
        <v>7</v>
      </c>
      <c r="N1298" s="587">
        <f t="shared" si="103"/>
        <v>0</v>
      </c>
      <c r="O1298" s="587">
        <f t="shared" si="103"/>
        <v>0</v>
      </c>
      <c r="P1298" s="587">
        <f t="shared" si="102"/>
        <v>0</v>
      </c>
    </row>
    <row r="1299" spans="2:16">
      <c r="B1299" s="587" t="s">
        <v>868</v>
      </c>
      <c r="C1299" s="587" t="s">
        <v>869</v>
      </c>
      <c r="D1299" s="587" t="s">
        <v>871</v>
      </c>
      <c r="E1299" s="587"/>
      <c r="F1299" s="587" t="str">
        <f t="shared" si="104"/>
        <v>Marche à pied (exclusivement sur tout le trajet)</v>
      </c>
      <c r="G1299" s="587">
        <f t="shared" si="105"/>
        <v>7</v>
      </c>
      <c r="H1299" s="587"/>
      <c r="I1299" s="587">
        <v>7</v>
      </c>
      <c r="J1299" s="587">
        <f t="shared" si="106"/>
        <v>0</v>
      </c>
      <c r="K1299" s="587"/>
      <c r="L1299" s="587"/>
      <c r="M1299" s="587">
        <f t="shared" si="103"/>
        <v>7</v>
      </c>
      <c r="N1299" s="587">
        <f t="shared" si="103"/>
        <v>0</v>
      </c>
      <c r="O1299" s="587">
        <f t="shared" si="103"/>
        <v>0</v>
      </c>
      <c r="P1299" s="587">
        <f t="shared" si="102"/>
        <v>0</v>
      </c>
    </row>
    <row r="1300" spans="2:16">
      <c r="B1300" s="587" t="s">
        <v>868</v>
      </c>
      <c r="C1300" s="587" t="s">
        <v>869</v>
      </c>
      <c r="D1300" s="587" t="s">
        <v>871</v>
      </c>
      <c r="E1300" s="587"/>
      <c r="F1300" s="587" t="str">
        <f t="shared" si="104"/>
        <v>Marche à pied (exclusivement sur tout le trajet)</v>
      </c>
      <c r="G1300" s="587">
        <f t="shared" si="105"/>
        <v>7</v>
      </c>
      <c r="H1300" s="587"/>
      <c r="I1300" s="587">
        <v>10</v>
      </c>
      <c r="J1300" s="587">
        <f t="shared" si="106"/>
        <v>0</v>
      </c>
      <c r="K1300" s="587"/>
      <c r="L1300" s="587"/>
      <c r="M1300" s="587">
        <f t="shared" si="103"/>
        <v>7</v>
      </c>
      <c r="N1300" s="587">
        <f t="shared" si="103"/>
        <v>0</v>
      </c>
      <c r="O1300" s="587">
        <f t="shared" si="103"/>
        <v>0</v>
      </c>
      <c r="P1300" s="587">
        <f t="shared" si="102"/>
        <v>0</v>
      </c>
    </row>
    <row r="1301" spans="2:16">
      <c r="B1301" s="587" t="s">
        <v>868</v>
      </c>
      <c r="C1301" s="587" t="s">
        <v>869</v>
      </c>
      <c r="D1301" s="587" t="s">
        <v>871</v>
      </c>
      <c r="E1301" s="587"/>
      <c r="F1301" s="587" t="str">
        <f t="shared" si="104"/>
        <v>Marche à pied (exclusivement sur tout le trajet)</v>
      </c>
      <c r="G1301" s="587">
        <f t="shared" si="105"/>
        <v>7</v>
      </c>
      <c r="H1301" s="587"/>
      <c r="I1301" s="587">
        <v>15</v>
      </c>
      <c r="J1301" s="587">
        <f t="shared" si="106"/>
        <v>0</v>
      </c>
      <c r="K1301" s="587"/>
      <c r="L1301" s="587"/>
      <c r="M1301" s="587">
        <f t="shared" si="103"/>
        <v>7</v>
      </c>
      <c r="N1301" s="587">
        <f t="shared" si="103"/>
        <v>0</v>
      </c>
      <c r="O1301" s="587">
        <f t="shared" si="103"/>
        <v>0</v>
      </c>
      <c r="P1301" s="587">
        <f t="shared" si="102"/>
        <v>0</v>
      </c>
    </row>
    <row r="1302" spans="2:16">
      <c r="B1302" s="587" t="s">
        <v>868</v>
      </c>
      <c r="C1302" s="587" t="s">
        <v>869</v>
      </c>
      <c r="D1302" s="587" t="s">
        <v>871</v>
      </c>
      <c r="E1302" s="587"/>
      <c r="F1302" s="587" t="str">
        <f t="shared" si="104"/>
        <v>Marche à pied (exclusivement sur tout le trajet)</v>
      </c>
      <c r="G1302" s="587">
        <f t="shared" si="105"/>
        <v>7</v>
      </c>
      <c r="H1302" s="587"/>
      <c r="I1302" s="587">
        <v>10</v>
      </c>
      <c r="J1302" s="587">
        <f t="shared" si="106"/>
        <v>0</v>
      </c>
      <c r="K1302" s="587"/>
      <c r="L1302" s="587"/>
      <c r="M1302" s="587">
        <f t="shared" si="103"/>
        <v>7</v>
      </c>
      <c r="N1302" s="587">
        <f t="shared" si="103"/>
        <v>0</v>
      </c>
      <c r="O1302" s="587">
        <f t="shared" si="103"/>
        <v>0</v>
      </c>
      <c r="P1302" s="587">
        <f t="shared" si="102"/>
        <v>0</v>
      </c>
    </row>
    <row r="1303" spans="2:16">
      <c r="B1303" s="587" t="s">
        <v>868</v>
      </c>
      <c r="C1303" s="587" t="s">
        <v>869</v>
      </c>
      <c r="D1303" s="587" t="s">
        <v>872</v>
      </c>
      <c r="E1303" s="587"/>
      <c r="F1303" s="587" t="str">
        <f t="shared" si="104"/>
        <v>Vélo personnel (y compris vélo à assistance électrique)</v>
      </c>
      <c r="G1303" s="587">
        <f t="shared" si="105"/>
        <v>7</v>
      </c>
      <c r="H1303" s="587"/>
      <c r="I1303" s="587">
        <v>10</v>
      </c>
      <c r="J1303" s="587">
        <f t="shared" si="106"/>
        <v>0</v>
      </c>
      <c r="K1303" s="587"/>
      <c r="L1303" s="587"/>
      <c r="M1303" s="587">
        <f t="shared" si="103"/>
        <v>7</v>
      </c>
      <c r="N1303" s="587">
        <f t="shared" si="103"/>
        <v>0</v>
      </c>
      <c r="O1303" s="587">
        <f t="shared" si="103"/>
        <v>0</v>
      </c>
      <c r="P1303" s="587">
        <f t="shared" si="102"/>
        <v>0</v>
      </c>
    </row>
    <row r="1304" spans="2:16">
      <c r="B1304" s="587" t="s">
        <v>868</v>
      </c>
      <c r="C1304" s="587" t="s">
        <v>869</v>
      </c>
      <c r="D1304" s="587" t="s">
        <v>872</v>
      </c>
      <c r="E1304" s="587"/>
      <c r="F1304" s="587" t="str">
        <f t="shared" si="104"/>
        <v>Vélo personnel (y compris vélo à assistance électrique)</v>
      </c>
      <c r="G1304" s="587">
        <f t="shared" si="105"/>
        <v>7</v>
      </c>
      <c r="H1304" s="587"/>
      <c r="I1304" s="587">
        <v>15</v>
      </c>
      <c r="J1304" s="587">
        <f t="shared" si="106"/>
        <v>0</v>
      </c>
      <c r="K1304" s="587"/>
      <c r="L1304" s="587"/>
      <c r="M1304" s="587">
        <f t="shared" si="103"/>
        <v>7</v>
      </c>
      <c r="N1304" s="587">
        <f t="shared" si="103"/>
        <v>0</v>
      </c>
      <c r="O1304" s="587">
        <f t="shared" si="103"/>
        <v>0</v>
      </c>
      <c r="P1304" s="587">
        <f t="shared" si="102"/>
        <v>0</v>
      </c>
    </row>
    <row r="1305" spans="2:16">
      <c r="B1305" s="587" t="s">
        <v>868</v>
      </c>
      <c r="C1305" s="587" t="s">
        <v>869</v>
      </c>
      <c r="D1305" s="587" t="s">
        <v>871</v>
      </c>
      <c r="E1305" s="587"/>
      <c r="F1305" s="587" t="str">
        <f t="shared" si="104"/>
        <v>Marche à pied (exclusivement sur tout le trajet)</v>
      </c>
      <c r="G1305" s="587">
        <f t="shared" si="105"/>
        <v>7</v>
      </c>
      <c r="H1305" s="587"/>
      <c r="I1305" s="587">
        <v>16</v>
      </c>
      <c r="J1305" s="587">
        <f t="shared" si="106"/>
        <v>0</v>
      </c>
      <c r="K1305" s="587"/>
      <c r="L1305" s="587"/>
      <c r="M1305" s="587">
        <f t="shared" si="103"/>
        <v>7</v>
      </c>
      <c r="N1305" s="587">
        <f t="shared" si="103"/>
        <v>0</v>
      </c>
      <c r="O1305" s="587">
        <f t="shared" si="103"/>
        <v>0</v>
      </c>
      <c r="P1305" s="587">
        <f t="shared" si="103"/>
        <v>0</v>
      </c>
    </row>
    <row r="1306" spans="2:16">
      <c r="B1306" s="587" t="s">
        <v>868</v>
      </c>
      <c r="C1306" s="587" t="s">
        <v>869</v>
      </c>
      <c r="D1306" s="587" t="s">
        <v>876</v>
      </c>
      <c r="E1306" s="587"/>
      <c r="F1306" s="587" t="str">
        <f t="shared" si="104"/>
        <v>Trottinette, roller, skateboard,...</v>
      </c>
      <c r="G1306" s="587">
        <f t="shared" si="105"/>
        <v>7</v>
      </c>
      <c r="H1306" s="587"/>
      <c r="I1306" s="587">
        <v>10</v>
      </c>
      <c r="J1306" s="587">
        <f t="shared" si="106"/>
        <v>0</v>
      </c>
      <c r="K1306" s="587"/>
      <c r="L1306" s="587"/>
      <c r="M1306" s="587">
        <f t="shared" ref="M1306:P1369" si="107">IF($C1306=M$27,$G1306,0)</f>
        <v>7</v>
      </c>
      <c r="N1306" s="587">
        <f t="shared" si="107"/>
        <v>0</v>
      </c>
      <c r="O1306" s="587">
        <f t="shared" si="107"/>
        <v>0</v>
      </c>
      <c r="P1306" s="587">
        <f t="shared" si="107"/>
        <v>0</v>
      </c>
    </row>
    <row r="1307" spans="2:16">
      <c r="B1307" s="587" t="s">
        <v>868</v>
      </c>
      <c r="C1307" s="587" t="s">
        <v>869</v>
      </c>
      <c r="D1307" s="587" t="s">
        <v>871</v>
      </c>
      <c r="E1307" s="587"/>
      <c r="F1307" s="587" t="str">
        <f t="shared" si="104"/>
        <v>Marche à pied (exclusivement sur tout le trajet)</v>
      </c>
      <c r="G1307" s="587">
        <f t="shared" si="105"/>
        <v>7</v>
      </c>
      <c r="H1307" s="587"/>
      <c r="I1307" s="587">
        <v>7</v>
      </c>
      <c r="J1307" s="587">
        <f t="shared" si="106"/>
        <v>0</v>
      </c>
      <c r="K1307" s="587"/>
      <c r="L1307" s="587"/>
      <c r="M1307" s="587">
        <f t="shared" si="107"/>
        <v>7</v>
      </c>
      <c r="N1307" s="587">
        <f t="shared" si="107"/>
        <v>0</v>
      </c>
      <c r="O1307" s="587">
        <f t="shared" si="107"/>
        <v>0</v>
      </c>
      <c r="P1307" s="587">
        <f t="shared" si="107"/>
        <v>0</v>
      </c>
    </row>
    <row r="1308" spans="2:16">
      <c r="B1308" s="587" t="s">
        <v>868</v>
      </c>
      <c r="C1308" s="587" t="s">
        <v>869</v>
      </c>
      <c r="D1308" s="587" t="s">
        <v>871</v>
      </c>
      <c r="E1308" s="587"/>
      <c r="F1308" s="587" t="str">
        <f t="shared" si="104"/>
        <v>Marche à pied (exclusivement sur tout le trajet)</v>
      </c>
      <c r="G1308" s="587">
        <f t="shared" si="105"/>
        <v>7</v>
      </c>
      <c r="H1308" s="587"/>
      <c r="I1308" s="587">
        <v>2</v>
      </c>
      <c r="J1308" s="587">
        <f t="shared" si="106"/>
        <v>0</v>
      </c>
      <c r="K1308" s="587"/>
      <c r="L1308" s="587"/>
      <c r="M1308" s="587">
        <f t="shared" si="107"/>
        <v>7</v>
      </c>
      <c r="N1308" s="587">
        <f t="shared" si="107"/>
        <v>0</v>
      </c>
      <c r="O1308" s="587">
        <f t="shared" si="107"/>
        <v>0</v>
      </c>
      <c r="P1308" s="587">
        <f t="shared" si="107"/>
        <v>0</v>
      </c>
    </row>
    <row r="1309" spans="2:16">
      <c r="B1309" s="587" t="s">
        <v>868</v>
      </c>
      <c r="C1309" s="587" t="s">
        <v>869</v>
      </c>
      <c r="D1309" s="587" t="s">
        <v>871</v>
      </c>
      <c r="E1309" s="587"/>
      <c r="F1309" s="587" t="str">
        <f t="shared" si="104"/>
        <v>Marche à pied (exclusivement sur tout le trajet)</v>
      </c>
      <c r="G1309" s="587">
        <f t="shared" si="105"/>
        <v>7</v>
      </c>
      <c r="H1309" s="587"/>
      <c r="I1309" s="587">
        <v>15</v>
      </c>
      <c r="J1309" s="587">
        <f t="shared" si="106"/>
        <v>0</v>
      </c>
      <c r="K1309" s="587"/>
      <c r="L1309" s="587"/>
      <c r="M1309" s="587">
        <f t="shared" si="107"/>
        <v>7</v>
      </c>
      <c r="N1309" s="587">
        <f t="shared" si="107"/>
        <v>0</v>
      </c>
      <c r="O1309" s="587">
        <f t="shared" si="107"/>
        <v>0</v>
      </c>
      <c r="P1309" s="587">
        <f t="shared" si="107"/>
        <v>0</v>
      </c>
    </row>
    <row r="1310" spans="2:16">
      <c r="B1310" s="587" t="s">
        <v>868</v>
      </c>
      <c r="C1310" s="587" t="s">
        <v>869</v>
      </c>
      <c r="D1310" s="587" t="s">
        <v>871</v>
      </c>
      <c r="E1310" s="587"/>
      <c r="F1310" s="587" t="str">
        <f t="shared" si="104"/>
        <v>Marche à pied (exclusivement sur tout le trajet)</v>
      </c>
      <c r="G1310" s="587">
        <f t="shared" si="105"/>
        <v>7</v>
      </c>
      <c r="H1310" s="587"/>
      <c r="I1310" s="587">
        <v>7</v>
      </c>
      <c r="J1310" s="587">
        <f t="shared" si="106"/>
        <v>0</v>
      </c>
      <c r="K1310" s="587"/>
      <c r="L1310" s="587"/>
      <c r="M1310" s="587">
        <f t="shared" si="107"/>
        <v>7</v>
      </c>
      <c r="N1310" s="587">
        <f t="shared" si="107"/>
        <v>0</v>
      </c>
      <c r="O1310" s="587">
        <f t="shared" si="107"/>
        <v>0</v>
      </c>
      <c r="P1310" s="587">
        <f t="shared" si="107"/>
        <v>0</v>
      </c>
    </row>
    <row r="1311" spans="2:16">
      <c r="B1311" s="587" t="s">
        <v>868</v>
      </c>
      <c r="C1311" s="587" t="s">
        <v>869</v>
      </c>
      <c r="D1311" s="587" t="s">
        <v>871</v>
      </c>
      <c r="E1311" s="587"/>
      <c r="F1311" s="587" t="str">
        <f t="shared" si="104"/>
        <v>Marche à pied (exclusivement sur tout le trajet)</v>
      </c>
      <c r="G1311" s="587">
        <f t="shared" si="105"/>
        <v>7</v>
      </c>
      <c r="H1311" s="587"/>
      <c r="I1311" s="587">
        <v>7</v>
      </c>
      <c r="J1311" s="587">
        <f t="shared" si="106"/>
        <v>0</v>
      </c>
      <c r="K1311" s="587"/>
      <c r="L1311" s="587"/>
      <c r="M1311" s="587">
        <f t="shared" si="107"/>
        <v>7</v>
      </c>
      <c r="N1311" s="587">
        <f t="shared" si="107"/>
        <v>0</v>
      </c>
      <c r="O1311" s="587">
        <f t="shared" si="107"/>
        <v>0</v>
      </c>
      <c r="P1311" s="587">
        <f t="shared" si="107"/>
        <v>0</v>
      </c>
    </row>
    <row r="1312" spans="2:16">
      <c r="B1312" s="587" t="s">
        <v>868</v>
      </c>
      <c r="C1312" s="587" t="s">
        <v>869</v>
      </c>
      <c r="D1312" s="587" t="s">
        <v>879</v>
      </c>
      <c r="E1312" s="587"/>
      <c r="F1312" s="587" t="str">
        <f t="shared" si="104"/>
        <v>Voiture (seul(e))</v>
      </c>
      <c r="G1312" s="587">
        <f t="shared" si="105"/>
        <v>3</v>
      </c>
      <c r="H1312" s="587"/>
      <c r="I1312" s="587">
        <v>20</v>
      </c>
      <c r="J1312" s="587">
        <f t="shared" si="106"/>
        <v>2.7600000000000002</v>
      </c>
      <c r="K1312" s="587"/>
      <c r="L1312" s="587"/>
      <c r="M1312" s="587">
        <f t="shared" si="107"/>
        <v>3</v>
      </c>
      <c r="N1312" s="587">
        <f t="shared" si="107"/>
        <v>0</v>
      </c>
      <c r="O1312" s="587">
        <f t="shared" si="107"/>
        <v>0</v>
      </c>
      <c r="P1312" s="587">
        <f t="shared" si="107"/>
        <v>0</v>
      </c>
    </row>
    <row r="1313" spans="2:16">
      <c r="B1313" s="587" t="s">
        <v>868</v>
      </c>
      <c r="C1313" s="587" t="s">
        <v>869</v>
      </c>
      <c r="D1313" s="587" t="s">
        <v>871</v>
      </c>
      <c r="E1313" s="587"/>
      <c r="F1313" s="587" t="str">
        <f t="shared" si="104"/>
        <v>Marche à pied (exclusivement sur tout le trajet)</v>
      </c>
      <c r="G1313" s="587">
        <f t="shared" si="105"/>
        <v>7</v>
      </c>
      <c r="H1313" s="587"/>
      <c r="I1313" s="587">
        <v>10</v>
      </c>
      <c r="J1313" s="587">
        <f t="shared" si="106"/>
        <v>0</v>
      </c>
      <c r="K1313" s="587"/>
      <c r="L1313" s="587"/>
      <c r="M1313" s="587">
        <f t="shared" si="107"/>
        <v>7</v>
      </c>
      <c r="N1313" s="587">
        <f t="shared" si="107"/>
        <v>0</v>
      </c>
      <c r="O1313" s="587">
        <f t="shared" si="107"/>
        <v>0</v>
      </c>
      <c r="P1313" s="587">
        <f t="shared" si="107"/>
        <v>0</v>
      </c>
    </row>
    <row r="1314" spans="2:16">
      <c r="B1314" s="587" t="s">
        <v>868</v>
      </c>
      <c r="C1314" s="587" t="s">
        <v>869</v>
      </c>
      <c r="D1314" s="587" t="s">
        <v>871</v>
      </c>
      <c r="E1314" s="587"/>
      <c r="F1314" s="587" t="str">
        <f t="shared" si="104"/>
        <v>Marche à pied (exclusivement sur tout le trajet)</v>
      </c>
      <c r="G1314" s="587">
        <f t="shared" si="105"/>
        <v>7</v>
      </c>
      <c r="H1314" s="587"/>
      <c r="I1314" s="587"/>
      <c r="J1314" s="587">
        <f t="shared" si="106"/>
        <v>0</v>
      </c>
      <c r="K1314" s="587"/>
      <c r="L1314" s="587"/>
      <c r="M1314" s="587">
        <f t="shared" si="107"/>
        <v>7</v>
      </c>
      <c r="N1314" s="587">
        <f t="shared" si="107"/>
        <v>0</v>
      </c>
      <c r="O1314" s="587">
        <f t="shared" si="107"/>
        <v>0</v>
      </c>
      <c r="P1314" s="587">
        <f t="shared" si="107"/>
        <v>0</v>
      </c>
    </row>
    <row r="1315" spans="2:16">
      <c r="B1315" s="587" t="s">
        <v>868</v>
      </c>
      <c r="C1315" s="587" t="s">
        <v>869</v>
      </c>
      <c r="D1315" s="587" t="s">
        <v>871</v>
      </c>
      <c r="E1315" s="587"/>
      <c r="F1315" s="587" t="str">
        <f t="shared" si="104"/>
        <v>Marche à pied (exclusivement sur tout le trajet)</v>
      </c>
      <c r="G1315" s="587">
        <f t="shared" si="105"/>
        <v>7</v>
      </c>
      <c r="H1315" s="587"/>
      <c r="I1315" s="587">
        <v>10</v>
      </c>
      <c r="J1315" s="587">
        <f t="shared" si="106"/>
        <v>0</v>
      </c>
      <c r="K1315" s="587"/>
      <c r="L1315" s="587"/>
      <c r="M1315" s="587">
        <f t="shared" si="107"/>
        <v>7</v>
      </c>
      <c r="N1315" s="587">
        <f t="shared" si="107"/>
        <v>0</v>
      </c>
      <c r="O1315" s="587">
        <f t="shared" si="107"/>
        <v>0</v>
      </c>
      <c r="P1315" s="587">
        <f t="shared" si="107"/>
        <v>0</v>
      </c>
    </row>
    <row r="1316" spans="2:16">
      <c r="B1316" s="587" t="s">
        <v>868</v>
      </c>
      <c r="C1316" s="587" t="s">
        <v>869</v>
      </c>
      <c r="D1316" s="587" t="s">
        <v>873</v>
      </c>
      <c r="E1316" s="587"/>
      <c r="F1316" s="587" t="str">
        <f t="shared" si="104"/>
        <v>Tramway</v>
      </c>
      <c r="G1316" s="587">
        <f t="shared" si="105"/>
        <v>1</v>
      </c>
      <c r="H1316" s="587"/>
      <c r="I1316" s="587">
        <v>25</v>
      </c>
      <c r="J1316" s="587">
        <f t="shared" si="106"/>
        <v>4.8833333333333326E-2</v>
      </c>
      <c r="K1316" s="587"/>
      <c r="L1316" s="587"/>
      <c r="M1316" s="587">
        <f t="shared" si="107"/>
        <v>1</v>
      </c>
      <c r="N1316" s="587">
        <f t="shared" si="107"/>
        <v>0</v>
      </c>
      <c r="O1316" s="587">
        <f t="shared" si="107"/>
        <v>0</v>
      </c>
      <c r="P1316" s="587">
        <f t="shared" si="107"/>
        <v>0</v>
      </c>
    </row>
    <row r="1317" spans="2:16">
      <c r="B1317" s="587" t="s">
        <v>868</v>
      </c>
      <c r="C1317" s="587" t="s">
        <v>869</v>
      </c>
      <c r="D1317" s="587" t="s">
        <v>872</v>
      </c>
      <c r="E1317" s="587"/>
      <c r="F1317" s="587" t="str">
        <f t="shared" si="104"/>
        <v>Vélo personnel (y compris vélo à assistance électrique)</v>
      </c>
      <c r="G1317" s="587">
        <f t="shared" si="105"/>
        <v>7</v>
      </c>
      <c r="H1317" s="587"/>
      <c r="I1317" s="587">
        <v>10</v>
      </c>
      <c r="J1317" s="587">
        <f t="shared" si="106"/>
        <v>0</v>
      </c>
      <c r="K1317" s="587"/>
      <c r="L1317" s="587"/>
      <c r="M1317" s="587">
        <f t="shared" si="107"/>
        <v>7</v>
      </c>
      <c r="N1317" s="587">
        <f t="shared" si="107"/>
        <v>0</v>
      </c>
      <c r="O1317" s="587">
        <f t="shared" si="107"/>
        <v>0</v>
      </c>
      <c r="P1317" s="587">
        <f t="shared" si="107"/>
        <v>0</v>
      </c>
    </row>
    <row r="1318" spans="2:16">
      <c r="B1318" s="587" t="s">
        <v>868</v>
      </c>
      <c r="C1318" s="587" t="s">
        <v>869</v>
      </c>
      <c r="D1318" s="587" t="s">
        <v>871</v>
      </c>
      <c r="E1318" s="587"/>
      <c r="F1318" s="587" t="str">
        <f t="shared" si="104"/>
        <v>Marche à pied (exclusivement sur tout le trajet)</v>
      </c>
      <c r="G1318" s="587">
        <f t="shared" si="105"/>
        <v>7</v>
      </c>
      <c r="H1318" s="587"/>
      <c r="I1318" s="587">
        <v>2</v>
      </c>
      <c r="J1318" s="587">
        <f t="shared" si="106"/>
        <v>0</v>
      </c>
      <c r="K1318" s="587"/>
      <c r="L1318" s="587"/>
      <c r="M1318" s="587">
        <f t="shared" si="107"/>
        <v>7</v>
      </c>
      <c r="N1318" s="587">
        <f t="shared" si="107"/>
        <v>0</v>
      </c>
      <c r="O1318" s="587">
        <f t="shared" si="107"/>
        <v>0</v>
      </c>
      <c r="P1318" s="587">
        <f t="shared" si="107"/>
        <v>0</v>
      </c>
    </row>
    <row r="1319" spans="2:16">
      <c r="B1319" s="587" t="s">
        <v>868</v>
      </c>
      <c r="C1319" s="587" t="s">
        <v>869</v>
      </c>
      <c r="D1319" s="587" t="s">
        <v>871</v>
      </c>
      <c r="E1319" s="587"/>
      <c r="F1319" s="587" t="str">
        <f t="shared" si="104"/>
        <v>Marche à pied (exclusivement sur tout le trajet)</v>
      </c>
      <c r="G1319" s="587">
        <f t="shared" si="105"/>
        <v>7</v>
      </c>
      <c r="H1319" s="587"/>
      <c r="I1319" s="587">
        <v>12</v>
      </c>
      <c r="J1319" s="587">
        <f t="shared" si="106"/>
        <v>0</v>
      </c>
      <c r="K1319" s="587"/>
      <c r="L1319" s="587"/>
      <c r="M1319" s="587">
        <f t="shared" si="107"/>
        <v>7</v>
      </c>
      <c r="N1319" s="587">
        <f t="shared" si="107"/>
        <v>0</v>
      </c>
      <c r="O1319" s="587">
        <f t="shared" si="107"/>
        <v>0</v>
      </c>
      <c r="P1319" s="587">
        <f t="shared" si="107"/>
        <v>0</v>
      </c>
    </row>
    <row r="1320" spans="2:16">
      <c r="B1320" s="587" t="s">
        <v>868</v>
      </c>
      <c r="C1320" s="587" t="s">
        <v>869</v>
      </c>
      <c r="D1320" s="587" t="s">
        <v>871</v>
      </c>
      <c r="E1320" s="587"/>
      <c r="F1320" s="587" t="str">
        <f t="shared" si="104"/>
        <v>Marche à pied (exclusivement sur tout le trajet)</v>
      </c>
      <c r="G1320" s="587">
        <f t="shared" si="105"/>
        <v>7</v>
      </c>
      <c r="H1320" s="587"/>
      <c r="I1320" s="587">
        <v>15</v>
      </c>
      <c r="J1320" s="587">
        <f t="shared" si="106"/>
        <v>0</v>
      </c>
      <c r="K1320" s="587"/>
      <c r="L1320" s="587"/>
      <c r="M1320" s="587">
        <f t="shared" si="107"/>
        <v>7</v>
      </c>
      <c r="N1320" s="587">
        <f t="shared" si="107"/>
        <v>0</v>
      </c>
      <c r="O1320" s="587">
        <f t="shared" si="107"/>
        <v>0</v>
      </c>
      <c r="P1320" s="587">
        <f t="shared" si="107"/>
        <v>0</v>
      </c>
    </row>
    <row r="1321" spans="2:16">
      <c r="B1321" s="587" t="s">
        <v>868</v>
      </c>
      <c r="C1321" s="587" t="s">
        <v>869</v>
      </c>
      <c r="D1321" s="587" t="s">
        <v>871</v>
      </c>
      <c r="E1321" s="587"/>
      <c r="F1321" s="587" t="str">
        <f t="shared" si="104"/>
        <v>Marche à pied (exclusivement sur tout le trajet)</v>
      </c>
      <c r="G1321" s="587">
        <f t="shared" si="105"/>
        <v>7</v>
      </c>
      <c r="H1321" s="587"/>
      <c r="I1321" s="587">
        <v>10</v>
      </c>
      <c r="J1321" s="587">
        <f t="shared" si="106"/>
        <v>0</v>
      </c>
      <c r="K1321" s="587"/>
      <c r="L1321" s="587"/>
      <c r="M1321" s="587">
        <f t="shared" si="107"/>
        <v>7</v>
      </c>
      <c r="N1321" s="587">
        <f t="shared" si="107"/>
        <v>0</v>
      </c>
      <c r="O1321" s="587">
        <f t="shared" si="107"/>
        <v>0</v>
      </c>
      <c r="P1321" s="587">
        <f t="shared" si="107"/>
        <v>0</v>
      </c>
    </row>
    <row r="1322" spans="2:16">
      <c r="B1322" s="587" t="s">
        <v>868</v>
      </c>
      <c r="C1322" s="587" t="s">
        <v>869</v>
      </c>
      <c r="D1322" s="587" t="s">
        <v>883</v>
      </c>
      <c r="E1322" s="587"/>
      <c r="F1322" s="587" t="str">
        <f t="shared" si="104"/>
        <v>Covoiturage (passager(ère))</v>
      </c>
      <c r="G1322" s="587">
        <f t="shared" si="105"/>
        <v>4</v>
      </c>
      <c r="H1322" s="587"/>
      <c r="I1322" s="587">
        <v>15</v>
      </c>
      <c r="J1322" s="587">
        <f t="shared" si="106"/>
        <v>0.69000000000000006</v>
      </c>
      <c r="K1322" s="587"/>
      <c r="L1322" s="587"/>
      <c r="M1322" s="587">
        <f t="shared" si="107"/>
        <v>4</v>
      </c>
      <c r="N1322" s="587">
        <f t="shared" si="107"/>
        <v>0</v>
      </c>
      <c r="O1322" s="587">
        <f t="shared" si="107"/>
        <v>0</v>
      </c>
      <c r="P1322" s="587">
        <f t="shared" si="107"/>
        <v>0</v>
      </c>
    </row>
    <row r="1323" spans="2:16">
      <c r="B1323" s="587" t="s">
        <v>868</v>
      </c>
      <c r="C1323" s="587" t="s">
        <v>869</v>
      </c>
      <c r="D1323" s="587" t="s">
        <v>871</v>
      </c>
      <c r="E1323" s="587"/>
      <c r="F1323" s="587" t="str">
        <f t="shared" si="104"/>
        <v>Marche à pied (exclusivement sur tout le trajet)</v>
      </c>
      <c r="G1323" s="587">
        <f t="shared" si="105"/>
        <v>7</v>
      </c>
      <c r="H1323" s="587"/>
      <c r="I1323" s="587">
        <v>5</v>
      </c>
      <c r="J1323" s="587">
        <f t="shared" si="106"/>
        <v>0</v>
      </c>
      <c r="K1323" s="587"/>
      <c r="L1323" s="587"/>
      <c r="M1323" s="587">
        <f t="shared" si="107"/>
        <v>7</v>
      </c>
      <c r="N1323" s="587">
        <f t="shared" si="107"/>
        <v>0</v>
      </c>
      <c r="O1323" s="587">
        <f t="shared" si="107"/>
        <v>0</v>
      </c>
      <c r="P1323" s="587">
        <f t="shared" si="107"/>
        <v>0</v>
      </c>
    </row>
    <row r="1324" spans="2:16">
      <c r="B1324" s="587" t="s">
        <v>868</v>
      </c>
      <c r="C1324" s="587" t="s">
        <v>869</v>
      </c>
      <c r="D1324" s="587" t="s">
        <v>871</v>
      </c>
      <c r="E1324" s="587"/>
      <c r="F1324" s="587" t="str">
        <f t="shared" si="104"/>
        <v>Marche à pied (exclusivement sur tout le trajet)</v>
      </c>
      <c r="G1324" s="587">
        <f t="shared" si="105"/>
        <v>7</v>
      </c>
      <c r="H1324" s="587"/>
      <c r="I1324" s="587">
        <v>10</v>
      </c>
      <c r="J1324" s="587">
        <f t="shared" si="106"/>
        <v>0</v>
      </c>
      <c r="K1324" s="587"/>
      <c r="L1324" s="587"/>
      <c r="M1324" s="587">
        <f t="shared" si="107"/>
        <v>7</v>
      </c>
      <c r="N1324" s="587">
        <f t="shared" si="107"/>
        <v>0</v>
      </c>
      <c r="O1324" s="587">
        <f t="shared" si="107"/>
        <v>0</v>
      </c>
      <c r="P1324" s="587">
        <f t="shared" si="107"/>
        <v>0</v>
      </c>
    </row>
    <row r="1325" spans="2:16">
      <c r="B1325" s="587" t="s">
        <v>868</v>
      </c>
      <c r="C1325" s="587" t="s">
        <v>869</v>
      </c>
      <c r="D1325" s="587" t="s">
        <v>876</v>
      </c>
      <c r="E1325" s="587"/>
      <c r="F1325" s="587" t="str">
        <f t="shared" si="104"/>
        <v>Trottinette, roller, skateboard,...</v>
      </c>
      <c r="G1325" s="587">
        <f t="shared" si="105"/>
        <v>7</v>
      </c>
      <c r="H1325" s="587"/>
      <c r="I1325" s="587">
        <v>5</v>
      </c>
      <c r="J1325" s="587">
        <f t="shared" si="106"/>
        <v>0</v>
      </c>
      <c r="K1325" s="587"/>
      <c r="L1325" s="587"/>
      <c r="M1325" s="587">
        <f t="shared" si="107"/>
        <v>7</v>
      </c>
      <c r="N1325" s="587">
        <f t="shared" si="107"/>
        <v>0</v>
      </c>
      <c r="O1325" s="587">
        <f t="shared" si="107"/>
        <v>0</v>
      </c>
      <c r="P1325" s="587">
        <f t="shared" si="107"/>
        <v>0</v>
      </c>
    </row>
    <row r="1326" spans="2:16">
      <c r="B1326" s="587" t="s">
        <v>868</v>
      </c>
      <c r="C1326" s="587" t="s">
        <v>869</v>
      </c>
      <c r="D1326" s="587" t="s">
        <v>871</v>
      </c>
      <c r="E1326" s="587"/>
      <c r="F1326" s="587" t="str">
        <f t="shared" si="104"/>
        <v>Marche à pied (exclusivement sur tout le trajet)</v>
      </c>
      <c r="G1326" s="587">
        <f t="shared" si="105"/>
        <v>7</v>
      </c>
      <c r="H1326" s="587"/>
      <c r="I1326" s="587">
        <v>8</v>
      </c>
      <c r="J1326" s="587">
        <f t="shared" si="106"/>
        <v>0</v>
      </c>
      <c r="K1326" s="587"/>
      <c r="L1326" s="587"/>
      <c r="M1326" s="587">
        <f t="shared" si="107"/>
        <v>7</v>
      </c>
      <c r="N1326" s="587">
        <f t="shared" si="107"/>
        <v>0</v>
      </c>
      <c r="O1326" s="587">
        <f t="shared" si="107"/>
        <v>0</v>
      </c>
      <c r="P1326" s="587">
        <f t="shared" si="107"/>
        <v>0</v>
      </c>
    </row>
    <row r="1327" spans="2:16">
      <c r="B1327" s="587" t="s">
        <v>868</v>
      </c>
      <c r="C1327" s="587" t="s">
        <v>869</v>
      </c>
      <c r="D1327" s="587" t="s">
        <v>877</v>
      </c>
      <c r="E1327" s="587"/>
      <c r="F1327" s="587" t="str">
        <f t="shared" si="104"/>
        <v>Vélo’v</v>
      </c>
      <c r="G1327" s="587">
        <f t="shared" si="105"/>
        <v>7</v>
      </c>
      <c r="H1327" s="587"/>
      <c r="I1327" s="587">
        <v>30</v>
      </c>
      <c r="J1327" s="587">
        <f t="shared" si="106"/>
        <v>0</v>
      </c>
      <c r="K1327" s="587"/>
      <c r="L1327" s="587"/>
      <c r="M1327" s="587">
        <f t="shared" si="107"/>
        <v>7</v>
      </c>
      <c r="N1327" s="587">
        <f t="shared" si="107"/>
        <v>0</v>
      </c>
      <c r="O1327" s="587">
        <f t="shared" si="107"/>
        <v>0</v>
      </c>
      <c r="P1327" s="587">
        <f t="shared" si="107"/>
        <v>0</v>
      </c>
    </row>
    <row r="1328" spans="2:16">
      <c r="B1328" s="587" t="s">
        <v>868</v>
      </c>
      <c r="C1328" s="587" t="s">
        <v>869</v>
      </c>
      <c r="D1328" s="587" t="s">
        <v>871</v>
      </c>
      <c r="E1328" s="587"/>
      <c r="F1328" s="587" t="str">
        <f t="shared" si="104"/>
        <v>Marche à pied (exclusivement sur tout le trajet)</v>
      </c>
      <c r="G1328" s="587">
        <f t="shared" si="105"/>
        <v>7</v>
      </c>
      <c r="H1328" s="587"/>
      <c r="I1328" s="587">
        <v>3</v>
      </c>
      <c r="J1328" s="587">
        <f t="shared" si="106"/>
        <v>0</v>
      </c>
      <c r="K1328" s="587"/>
      <c r="L1328" s="587"/>
      <c r="M1328" s="587">
        <f t="shared" si="107"/>
        <v>7</v>
      </c>
      <c r="N1328" s="587">
        <f t="shared" si="107"/>
        <v>0</v>
      </c>
      <c r="O1328" s="587">
        <f t="shared" si="107"/>
        <v>0</v>
      </c>
      <c r="P1328" s="587">
        <f t="shared" si="107"/>
        <v>0</v>
      </c>
    </row>
    <row r="1329" spans="2:16">
      <c r="B1329" s="587" t="s">
        <v>868</v>
      </c>
      <c r="C1329" s="587" t="s">
        <v>869</v>
      </c>
      <c r="D1329" s="587" t="s">
        <v>872</v>
      </c>
      <c r="E1329" s="587"/>
      <c r="F1329" s="587" t="str">
        <f t="shared" si="104"/>
        <v>Vélo personnel (y compris vélo à assistance électrique)</v>
      </c>
      <c r="G1329" s="587">
        <f t="shared" si="105"/>
        <v>7</v>
      </c>
      <c r="H1329" s="587"/>
      <c r="I1329" s="587">
        <v>10</v>
      </c>
      <c r="J1329" s="587">
        <f t="shared" si="106"/>
        <v>0</v>
      </c>
      <c r="K1329" s="587"/>
      <c r="L1329" s="587"/>
      <c r="M1329" s="587">
        <f t="shared" si="107"/>
        <v>7</v>
      </c>
      <c r="N1329" s="587">
        <f t="shared" si="107"/>
        <v>0</v>
      </c>
      <c r="O1329" s="587">
        <f t="shared" si="107"/>
        <v>0</v>
      </c>
      <c r="P1329" s="587">
        <f t="shared" si="107"/>
        <v>0</v>
      </c>
    </row>
    <row r="1330" spans="2:16">
      <c r="B1330" s="587" t="s">
        <v>868</v>
      </c>
      <c r="C1330" s="587" t="s">
        <v>869</v>
      </c>
      <c r="D1330" s="587" t="s">
        <v>872</v>
      </c>
      <c r="E1330" s="587"/>
      <c r="F1330" s="587" t="str">
        <f t="shared" si="104"/>
        <v>Vélo personnel (y compris vélo à assistance électrique)</v>
      </c>
      <c r="G1330" s="587">
        <f t="shared" si="105"/>
        <v>7</v>
      </c>
      <c r="H1330" s="587"/>
      <c r="I1330" s="587">
        <v>10</v>
      </c>
      <c r="J1330" s="587">
        <f t="shared" si="106"/>
        <v>0</v>
      </c>
      <c r="K1330" s="587"/>
      <c r="L1330" s="587"/>
      <c r="M1330" s="587">
        <f t="shared" si="107"/>
        <v>7</v>
      </c>
      <c r="N1330" s="587">
        <f t="shared" si="107"/>
        <v>0</v>
      </c>
      <c r="O1330" s="587">
        <f t="shared" si="107"/>
        <v>0</v>
      </c>
      <c r="P1330" s="587">
        <f t="shared" si="107"/>
        <v>0</v>
      </c>
    </row>
    <row r="1331" spans="2:16">
      <c r="B1331" s="587" t="s">
        <v>868</v>
      </c>
      <c r="C1331" s="587" t="s">
        <v>869</v>
      </c>
      <c r="D1331" s="587" t="s">
        <v>873</v>
      </c>
      <c r="E1331" s="587"/>
      <c r="F1331" s="587" t="str">
        <f t="shared" si="104"/>
        <v>Tramway</v>
      </c>
      <c r="G1331" s="587">
        <f t="shared" si="105"/>
        <v>1</v>
      </c>
      <c r="H1331" s="587"/>
      <c r="I1331" s="587">
        <v>10</v>
      </c>
      <c r="J1331" s="587">
        <f t="shared" si="106"/>
        <v>4.8833333333333326E-2</v>
      </c>
      <c r="K1331" s="587"/>
      <c r="L1331" s="587"/>
      <c r="M1331" s="587">
        <f t="shared" si="107"/>
        <v>1</v>
      </c>
      <c r="N1331" s="587">
        <f t="shared" si="107"/>
        <v>0</v>
      </c>
      <c r="O1331" s="587">
        <f t="shared" si="107"/>
        <v>0</v>
      </c>
      <c r="P1331" s="587">
        <f t="shared" si="107"/>
        <v>0</v>
      </c>
    </row>
    <row r="1332" spans="2:16">
      <c r="B1332" s="587" t="s">
        <v>868</v>
      </c>
      <c r="C1332" s="587" t="s">
        <v>869</v>
      </c>
      <c r="D1332" s="587" t="s">
        <v>871</v>
      </c>
      <c r="E1332" s="587"/>
      <c r="F1332" s="587" t="str">
        <f t="shared" si="104"/>
        <v>Marche à pied (exclusivement sur tout le trajet)</v>
      </c>
      <c r="G1332" s="587">
        <f t="shared" si="105"/>
        <v>7</v>
      </c>
      <c r="H1332" s="587"/>
      <c r="I1332" s="587">
        <v>10</v>
      </c>
      <c r="J1332" s="587">
        <f t="shared" si="106"/>
        <v>0</v>
      </c>
      <c r="K1332" s="587"/>
      <c r="L1332" s="587"/>
      <c r="M1332" s="587">
        <f t="shared" si="107"/>
        <v>7</v>
      </c>
      <c r="N1332" s="587">
        <f t="shared" si="107"/>
        <v>0</v>
      </c>
      <c r="O1332" s="587">
        <f t="shared" si="107"/>
        <v>0</v>
      </c>
      <c r="P1332" s="587">
        <f t="shared" si="107"/>
        <v>0</v>
      </c>
    </row>
    <row r="1333" spans="2:16">
      <c r="B1333" s="587" t="s">
        <v>868</v>
      </c>
      <c r="C1333" s="587" t="s">
        <v>869</v>
      </c>
      <c r="D1333" s="587" t="s">
        <v>872</v>
      </c>
      <c r="E1333" s="587"/>
      <c r="F1333" s="587" t="str">
        <f t="shared" si="104"/>
        <v>Vélo personnel (y compris vélo à assistance électrique)</v>
      </c>
      <c r="G1333" s="587">
        <f t="shared" si="105"/>
        <v>7</v>
      </c>
      <c r="H1333" s="587"/>
      <c r="I1333" s="587">
        <v>12</v>
      </c>
      <c r="J1333" s="587">
        <f t="shared" si="106"/>
        <v>0</v>
      </c>
      <c r="K1333" s="587"/>
      <c r="L1333" s="587"/>
      <c r="M1333" s="587">
        <f t="shared" si="107"/>
        <v>7</v>
      </c>
      <c r="N1333" s="587">
        <f t="shared" si="107"/>
        <v>0</v>
      </c>
      <c r="O1333" s="587">
        <f t="shared" si="107"/>
        <v>0</v>
      </c>
      <c r="P1333" s="587">
        <f t="shared" si="107"/>
        <v>0</v>
      </c>
    </row>
    <row r="1334" spans="2:16">
      <c r="B1334" s="587" t="s">
        <v>868</v>
      </c>
      <c r="C1334" s="587" t="s">
        <v>869</v>
      </c>
      <c r="D1334" s="587" t="s">
        <v>885</v>
      </c>
      <c r="E1334" s="587"/>
      <c r="F1334" s="587" t="str">
        <f t="shared" si="104"/>
        <v>Covoiturage (conducteur(trice))</v>
      </c>
      <c r="G1334" s="587">
        <f t="shared" si="105"/>
        <v>4</v>
      </c>
      <c r="H1334" s="587"/>
      <c r="I1334" s="587">
        <v>120</v>
      </c>
      <c r="J1334" s="587">
        <f t="shared" si="106"/>
        <v>0.69000000000000006</v>
      </c>
      <c r="K1334" s="587"/>
      <c r="L1334" s="587"/>
      <c r="M1334" s="587">
        <f t="shared" si="107"/>
        <v>4</v>
      </c>
      <c r="N1334" s="587">
        <f t="shared" si="107"/>
        <v>0</v>
      </c>
      <c r="O1334" s="587">
        <f t="shared" si="107"/>
        <v>0</v>
      </c>
      <c r="P1334" s="587">
        <f t="shared" si="107"/>
        <v>0</v>
      </c>
    </row>
    <row r="1335" spans="2:16">
      <c r="B1335" s="587" t="s">
        <v>868</v>
      </c>
      <c r="C1335" s="587" t="s">
        <v>869</v>
      </c>
      <c r="D1335" s="587" t="s">
        <v>871</v>
      </c>
      <c r="E1335" s="587"/>
      <c r="F1335" s="587" t="str">
        <f t="shared" si="104"/>
        <v>Marche à pied (exclusivement sur tout le trajet)</v>
      </c>
      <c r="G1335" s="587">
        <f t="shared" si="105"/>
        <v>7</v>
      </c>
      <c r="H1335" s="587"/>
      <c r="I1335" s="587">
        <v>10</v>
      </c>
      <c r="J1335" s="587">
        <f t="shared" si="106"/>
        <v>0</v>
      </c>
      <c r="K1335" s="587"/>
      <c r="L1335" s="587"/>
      <c r="M1335" s="587">
        <f t="shared" si="107"/>
        <v>7</v>
      </c>
      <c r="N1335" s="587">
        <f t="shared" si="107"/>
        <v>0</v>
      </c>
      <c r="O1335" s="587">
        <f t="shared" si="107"/>
        <v>0</v>
      </c>
      <c r="P1335" s="587">
        <f t="shared" si="107"/>
        <v>0</v>
      </c>
    </row>
    <row r="1336" spans="2:16">
      <c r="B1336" s="587" t="s">
        <v>868</v>
      </c>
      <c r="C1336" s="587" t="s">
        <v>869</v>
      </c>
      <c r="D1336" s="587" t="s">
        <v>871</v>
      </c>
      <c r="E1336" s="587"/>
      <c r="F1336" s="587" t="str">
        <f t="shared" si="104"/>
        <v>Marche à pied (exclusivement sur tout le trajet)</v>
      </c>
      <c r="G1336" s="587">
        <f t="shared" si="105"/>
        <v>7</v>
      </c>
      <c r="H1336" s="587"/>
      <c r="I1336" s="587">
        <v>10</v>
      </c>
      <c r="J1336" s="587">
        <f t="shared" si="106"/>
        <v>0</v>
      </c>
      <c r="K1336" s="587"/>
      <c r="L1336" s="587"/>
      <c r="M1336" s="587">
        <f t="shared" si="107"/>
        <v>7</v>
      </c>
      <c r="N1336" s="587">
        <f t="shared" si="107"/>
        <v>0</v>
      </c>
      <c r="O1336" s="587">
        <f t="shared" si="107"/>
        <v>0</v>
      </c>
      <c r="P1336" s="587">
        <f t="shared" si="107"/>
        <v>0</v>
      </c>
    </row>
    <row r="1337" spans="2:16">
      <c r="B1337" s="587" t="s">
        <v>868</v>
      </c>
      <c r="C1337" s="587" t="s">
        <v>869</v>
      </c>
      <c r="D1337" s="587" t="s">
        <v>871</v>
      </c>
      <c r="E1337" s="587"/>
      <c r="F1337" s="587" t="str">
        <f t="shared" si="104"/>
        <v>Marche à pied (exclusivement sur tout le trajet)</v>
      </c>
      <c r="G1337" s="587">
        <f t="shared" si="105"/>
        <v>7</v>
      </c>
      <c r="H1337" s="587"/>
      <c r="I1337" s="587">
        <v>5</v>
      </c>
      <c r="J1337" s="587">
        <f t="shared" si="106"/>
        <v>0</v>
      </c>
      <c r="K1337" s="587"/>
      <c r="L1337" s="587"/>
      <c r="M1337" s="587">
        <f t="shared" si="107"/>
        <v>7</v>
      </c>
      <c r="N1337" s="587">
        <f t="shared" si="107"/>
        <v>0</v>
      </c>
      <c r="O1337" s="587">
        <f t="shared" si="107"/>
        <v>0</v>
      </c>
      <c r="P1337" s="587">
        <f t="shared" si="107"/>
        <v>0</v>
      </c>
    </row>
    <row r="1338" spans="2:16">
      <c r="B1338" s="587" t="s">
        <v>868</v>
      </c>
      <c r="C1338" s="587" t="s">
        <v>869</v>
      </c>
      <c r="D1338" s="587" t="s">
        <v>871</v>
      </c>
      <c r="E1338" s="587"/>
      <c r="F1338" s="587" t="str">
        <f t="shared" si="104"/>
        <v>Marche à pied (exclusivement sur tout le trajet)</v>
      </c>
      <c r="G1338" s="587">
        <f t="shared" si="105"/>
        <v>7</v>
      </c>
      <c r="H1338" s="587"/>
      <c r="I1338" s="587">
        <v>10</v>
      </c>
      <c r="J1338" s="587">
        <f t="shared" si="106"/>
        <v>0</v>
      </c>
      <c r="K1338" s="587"/>
      <c r="L1338" s="587"/>
      <c r="M1338" s="587">
        <f t="shared" si="107"/>
        <v>7</v>
      </c>
      <c r="N1338" s="587">
        <f t="shared" si="107"/>
        <v>0</v>
      </c>
      <c r="O1338" s="587">
        <f t="shared" si="107"/>
        <v>0</v>
      </c>
      <c r="P1338" s="587">
        <f t="shared" si="107"/>
        <v>0</v>
      </c>
    </row>
    <row r="1339" spans="2:16">
      <c r="B1339" s="587" t="s">
        <v>868</v>
      </c>
      <c r="C1339" s="587" t="s">
        <v>869</v>
      </c>
      <c r="D1339" s="587" t="s">
        <v>872</v>
      </c>
      <c r="E1339" s="587"/>
      <c r="F1339" s="587" t="str">
        <f t="shared" ref="F1339:F1402" si="108">IF(D1339="",E1339,D1339)</f>
        <v>Vélo personnel (y compris vélo à assistance électrique)</v>
      </c>
      <c r="G1339" s="587">
        <f t="shared" ref="G1339:G1402" si="109">IF(F1339="Métro",1,IF(F1339="Tramway",1,IF(F1339="Vélo'v",7,IF(F1339="Marche à pied (exclusivement sur tout le trajet)",7,IF(F1339="Vélo personnel (y compris vélo à assistance électrique)",7,IF(F1339="Trottinette, roller, skateboard,…",7,IF(F1339="Marche à pied au-delà de 5 minutes",7,IF(F1339="Voiture (seul(e))",3,IF(F1339="Bus",2,IF(F1339="Trottinette, roller, skateboard au-delà de 5 minutes",7,IF(F1339="Covoiturage (passager(ère))",4,IF(F1339="Trottinette, roller, skateboard,...",7,IF(F1339="Vélo’v",7,IF(F1339="Train (TER,TGV,...)",6,IF(F1339="Deux roues motorisées (moto, scooter, mobylette,…)",5,IF(F1339="Covoiturage (conducteur(trice))",4,IF(F1339="Train (TER,..)",6,0)))))))))))))))))</f>
        <v>7</v>
      </c>
      <c r="H1339" s="587"/>
      <c r="I1339" s="587">
        <v>10</v>
      </c>
      <c r="J1339" s="587">
        <f t="shared" ref="J1339:J1370" si="110">IF(G1339=1,$C$6*($I$28*$K$6)/$J$6,IF(G1339=2,$C$7*($I$28*$K$7)/$J$7,IF(G1339=3,$C$8*$I$28*$K$8/$J$8,IF(G1339=4,$C$9*$I$28*$K$9/$J$9,IF(G1339=5,$C$10*$I$28*$K$10/$J$10,IF(G1339=6,$C$11*$K$11*$I$28/$J$11,0))))))</f>
        <v>0</v>
      </c>
      <c r="K1339" s="587"/>
      <c r="L1339" s="587"/>
      <c r="M1339" s="587">
        <f t="shared" si="107"/>
        <v>7</v>
      </c>
      <c r="N1339" s="587">
        <f t="shared" si="107"/>
        <v>0</v>
      </c>
      <c r="O1339" s="587">
        <f t="shared" si="107"/>
        <v>0</v>
      </c>
      <c r="P1339" s="587">
        <f t="shared" si="107"/>
        <v>0</v>
      </c>
    </row>
    <row r="1340" spans="2:16">
      <c r="B1340" s="587" t="s">
        <v>868</v>
      </c>
      <c r="C1340" s="587" t="s">
        <v>882</v>
      </c>
      <c r="D1340" s="587" t="s">
        <v>879</v>
      </c>
      <c r="E1340" s="587"/>
      <c r="F1340" s="587" t="str">
        <f t="shared" si="108"/>
        <v>Voiture (seul(e))</v>
      </c>
      <c r="G1340" s="587">
        <f t="shared" si="109"/>
        <v>3</v>
      </c>
      <c r="H1340" s="587"/>
      <c r="I1340" s="587">
        <v>70</v>
      </c>
      <c r="J1340" s="587">
        <f t="shared" si="110"/>
        <v>2.7600000000000002</v>
      </c>
      <c r="K1340" s="587"/>
      <c r="L1340" s="587"/>
      <c r="M1340" s="587">
        <f t="shared" si="107"/>
        <v>0</v>
      </c>
      <c r="N1340" s="587">
        <f t="shared" si="107"/>
        <v>0</v>
      </c>
      <c r="O1340" s="587">
        <f t="shared" si="107"/>
        <v>3</v>
      </c>
      <c r="P1340" s="587">
        <f t="shared" si="107"/>
        <v>0</v>
      </c>
    </row>
    <row r="1341" spans="2:16">
      <c r="B1341" s="587" t="s">
        <v>868</v>
      </c>
      <c r="C1341" s="587" t="s">
        <v>869</v>
      </c>
      <c r="D1341" s="587"/>
      <c r="E1341" s="587" t="s">
        <v>878</v>
      </c>
      <c r="F1341" s="587" t="str">
        <f t="shared" si="108"/>
        <v>Marche à pied au-delà de 5 minutes</v>
      </c>
      <c r="G1341" s="587">
        <f t="shared" si="109"/>
        <v>7</v>
      </c>
      <c r="H1341" s="587"/>
      <c r="I1341" s="587">
        <v>15</v>
      </c>
      <c r="J1341" s="587">
        <f t="shared" si="110"/>
        <v>0</v>
      </c>
      <c r="K1341" s="587"/>
      <c r="L1341" s="587"/>
      <c r="M1341" s="587">
        <f t="shared" si="107"/>
        <v>7</v>
      </c>
      <c r="N1341" s="587">
        <f t="shared" si="107"/>
        <v>0</v>
      </c>
      <c r="O1341" s="587">
        <f t="shared" si="107"/>
        <v>0</v>
      </c>
      <c r="P1341" s="587">
        <f t="shared" si="107"/>
        <v>0</v>
      </c>
    </row>
    <row r="1342" spans="2:16">
      <c r="B1342" s="587" t="s">
        <v>868</v>
      </c>
      <c r="C1342" s="587" t="s">
        <v>869</v>
      </c>
      <c r="D1342" s="587"/>
      <c r="E1342" s="587" t="s">
        <v>873</v>
      </c>
      <c r="F1342" s="587" t="str">
        <f t="shared" si="108"/>
        <v>Tramway</v>
      </c>
      <c r="G1342" s="587">
        <f t="shared" si="109"/>
        <v>1</v>
      </c>
      <c r="H1342" s="587"/>
      <c r="I1342" s="587">
        <v>7</v>
      </c>
      <c r="J1342" s="587">
        <f t="shared" si="110"/>
        <v>4.8833333333333326E-2</v>
      </c>
      <c r="K1342" s="587"/>
      <c r="L1342" s="587"/>
      <c r="M1342" s="587">
        <f t="shared" si="107"/>
        <v>1</v>
      </c>
      <c r="N1342" s="587">
        <f t="shared" si="107"/>
        <v>0</v>
      </c>
      <c r="O1342" s="587">
        <f t="shared" si="107"/>
        <v>0</v>
      </c>
      <c r="P1342" s="587">
        <f t="shared" si="107"/>
        <v>0</v>
      </c>
    </row>
    <row r="1343" spans="2:16">
      <c r="B1343" s="587" t="s">
        <v>868</v>
      </c>
      <c r="C1343" s="587" t="s">
        <v>869</v>
      </c>
      <c r="D1343" s="587" t="s">
        <v>876</v>
      </c>
      <c r="E1343" s="587"/>
      <c r="F1343" s="587" t="str">
        <f t="shared" si="108"/>
        <v>Trottinette, roller, skateboard,...</v>
      </c>
      <c r="G1343" s="587">
        <f t="shared" si="109"/>
        <v>7</v>
      </c>
      <c r="H1343" s="587"/>
      <c r="I1343" s="587">
        <v>5</v>
      </c>
      <c r="J1343" s="587">
        <f t="shared" si="110"/>
        <v>0</v>
      </c>
      <c r="K1343" s="587"/>
      <c r="L1343" s="587"/>
      <c r="M1343" s="587">
        <f t="shared" si="107"/>
        <v>7</v>
      </c>
      <c r="N1343" s="587">
        <f t="shared" si="107"/>
        <v>0</v>
      </c>
      <c r="O1343" s="587">
        <f t="shared" si="107"/>
        <v>0</v>
      </c>
      <c r="P1343" s="587">
        <f t="shared" si="107"/>
        <v>0</v>
      </c>
    </row>
    <row r="1344" spans="2:16">
      <c r="B1344" s="587" t="s">
        <v>868</v>
      </c>
      <c r="C1344" s="587" t="s">
        <v>875</v>
      </c>
      <c r="D1344" s="587" t="s">
        <v>872</v>
      </c>
      <c r="E1344" s="587"/>
      <c r="F1344" s="587" t="str">
        <f t="shared" si="108"/>
        <v>Vélo personnel (y compris vélo à assistance électrique)</v>
      </c>
      <c r="G1344" s="587">
        <f t="shared" si="109"/>
        <v>7</v>
      </c>
      <c r="H1344" s="587"/>
      <c r="I1344" s="587">
        <v>10</v>
      </c>
      <c r="J1344" s="587">
        <f t="shared" si="110"/>
        <v>0</v>
      </c>
      <c r="K1344" s="587"/>
      <c r="L1344" s="587"/>
      <c r="M1344" s="587">
        <f t="shared" si="107"/>
        <v>0</v>
      </c>
      <c r="N1344" s="587">
        <f t="shared" si="107"/>
        <v>7</v>
      </c>
      <c r="O1344" s="587">
        <f t="shared" si="107"/>
        <v>0</v>
      </c>
      <c r="P1344" s="587">
        <f t="shared" si="107"/>
        <v>0</v>
      </c>
    </row>
    <row r="1345" spans="2:16">
      <c r="B1345" s="587" t="s">
        <v>868</v>
      </c>
      <c r="C1345" s="587" t="s">
        <v>869</v>
      </c>
      <c r="D1345" s="587" t="s">
        <v>872</v>
      </c>
      <c r="E1345" s="587"/>
      <c r="F1345" s="587" t="str">
        <f t="shared" si="108"/>
        <v>Vélo personnel (y compris vélo à assistance électrique)</v>
      </c>
      <c r="G1345" s="587">
        <f t="shared" si="109"/>
        <v>7</v>
      </c>
      <c r="H1345" s="587"/>
      <c r="I1345" s="587">
        <v>5</v>
      </c>
      <c r="J1345" s="587">
        <f t="shared" si="110"/>
        <v>0</v>
      </c>
      <c r="K1345" s="587"/>
      <c r="L1345" s="587"/>
      <c r="M1345" s="587">
        <f t="shared" si="107"/>
        <v>7</v>
      </c>
      <c r="N1345" s="587">
        <f t="shared" si="107"/>
        <v>0</v>
      </c>
      <c r="O1345" s="587">
        <f t="shared" si="107"/>
        <v>0</v>
      </c>
      <c r="P1345" s="587">
        <f t="shared" si="107"/>
        <v>0</v>
      </c>
    </row>
    <row r="1346" spans="2:16">
      <c r="B1346" s="587" t="s">
        <v>868</v>
      </c>
      <c r="C1346" s="587" t="s">
        <v>869</v>
      </c>
      <c r="D1346" s="587" t="s">
        <v>871</v>
      </c>
      <c r="E1346" s="587"/>
      <c r="F1346" s="587" t="str">
        <f t="shared" si="108"/>
        <v>Marche à pied (exclusivement sur tout le trajet)</v>
      </c>
      <c r="G1346" s="587">
        <f t="shared" si="109"/>
        <v>7</v>
      </c>
      <c r="H1346" s="587"/>
      <c r="I1346" s="587">
        <v>8</v>
      </c>
      <c r="J1346" s="587">
        <f t="shared" si="110"/>
        <v>0</v>
      </c>
      <c r="K1346" s="587"/>
      <c r="L1346" s="587"/>
      <c r="M1346" s="587">
        <f t="shared" si="107"/>
        <v>7</v>
      </c>
      <c r="N1346" s="587">
        <f t="shared" si="107"/>
        <v>0</v>
      </c>
      <c r="O1346" s="587">
        <f t="shared" si="107"/>
        <v>0</v>
      </c>
      <c r="P1346" s="587">
        <f t="shared" si="107"/>
        <v>0</v>
      </c>
    </row>
    <row r="1347" spans="2:16">
      <c r="B1347" s="587" t="s">
        <v>868</v>
      </c>
      <c r="C1347" s="587" t="s">
        <v>869</v>
      </c>
      <c r="D1347" s="587" t="s">
        <v>879</v>
      </c>
      <c r="E1347" s="587"/>
      <c r="F1347" s="587" t="str">
        <f t="shared" si="108"/>
        <v>Voiture (seul(e))</v>
      </c>
      <c r="G1347" s="587">
        <f t="shared" si="109"/>
        <v>3</v>
      </c>
      <c r="H1347" s="587"/>
      <c r="I1347" s="587">
        <v>15</v>
      </c>
      <c r="J1347" s="587">
        <f t="shared" si="110"/>
        <v>2.7600000000000002</v>
      </c>
      <c r="K1347" s="587"/>
      <c r="L1347" s="587"/>
      <c r="M1347" s="587">
        <f t="shared" si="107"/>
        <v>3</v>
      </c>
      <c r="N1347" s="587">
        <f t="shared" si="107"/>
        <v>0</v>
      </c>
      <c r="O1347" s="587">
        <f t="shared" si="107"/>
        <v>0</v>
      </c>
      <c r="P1347" s="587">
        <f t="shared" si="107"/>
        <v>0</v>
      </c>
    </row>
    <row r="1348" spans="2:16">
      <c r="B1348" s="587" t="s">
        <v>868</v>
      </c>
      <c r="C1348" s="587" t="s">
        <v>869</v>
      </c>
      <c r="D1348" s="587"/>
      <c r="E1348" s="587" t="s">
        <v>870</v>
      </c>
      <c r="F1348" s="587" t="str">
        <f t="shared" si="108"/>
        <v>Métro</v>
      </c>
      <c r="G1348" s="587">
        <f t="shared" si="109"/>
        <v>1</v>
      </c>
      <c r="H1348" s="587"/>
      <c r="I1348" s="587">
        <v>25</v>
      </c>
      <c r="J1348" s="587">
        <f t="shared" si="110"/>
        <v>4.8833333333333326E-2</v>
      </c>
      <c r="K1348" s="587"/>
      <c r="L1348" s="587"/>
      <c r="M1348" s="587">
        <f t="shared" si="107"/>
        <v>1</v>
      </c>
      <c r="N1348" s="587">
        <f t="shared" si="107"/>
        <v>0</v>
      </c>
      <c r="O1348" s="587">
        <f t="shared" si="107"/>
        <v>0</v>
      </c>
      <c r="P1348" s="587">
        <f t="shared" si="107"/>
        <v>0</v>
      </c>
    </row>
    <row r="1349" spans="2:16">
      <c r="B1349" s="587" t="s">
        <v>868</v>
      </c>
      <c r="C1349" s="587" t="s">
        <v>869</v>
      </c>
      <c r="D1349" s="587" t="s">
        <v>871</v>
      </c>
      <c r="E1349" s="587"/>
      <c r="F1349" s="587" t="str">
        <f t="shared" si="108"/>
        <v>Marche à pied (exclusivement sur tout le trajet)</v>
      </c>
      <c r="G1349" s="587">
        <f t="shared" si="109"/>
        <v>7</v>
      </c>
      <c r="H1349" s="587"/>
      <c r="I1349" s="587">
        <v>10</v>
      </c>
      <c r="J1349" s="587">
        <f t="shared" si="110"/>
        <v>0</v>
      </c>
      <c r="K1349" s="587"/>
      <c r="L1349" s="587"/>
      <c r="M1349" s="587">
        <f t="shared" si="107"/>
        <v>7</v>
      </c>
      <c r="N1349" s="587">
        <f t="shared" si="107"/>
        <v>0</v>
      </c>
      <c r="O1349" s="587">
        <f t="shared" si="107"/>
        <v>0</v>
      </c>
      <c r="P1349" s="587">
        <f t="shared" si="107"/>
        <v>0</v>
      </c>
    </row>
    <row r="1350" spans="2:16">
      <c r="B1350" s="587" t="s">
        <v>868</v>
      </c>
      <c r="C1350" s="587" t="s">
        <v>869</v>
      </c>
      <c r="D1350" s="587" t="s">
        <v>872</v>
      </c>
      <c r="E1350" s="587"/>
      <c r="F1350" s="587" t="str">
        <f t="shared" si="108"/>
        <v>Vélo personnel (y compris vélo à assistance électrique)</v>
      </c>
      <c r="G1350" s="587">
        <f t="shared" si="109"/>
        <v>7</v>
      </c>
      <c r="H1350" s="587"/>
      <c r="I1350" s="587">
        <v>7</v>
      </c>
      <c r="J1350" s="587">
        <f t="shared" si="110"/>
        <v>0</v>
      </c>
      <c r="K1350" s="587"/>
      <c r="L1350" s="587"/>
      <c r="M1350" s="587">
        <f t="shared" si="107"/>
        <v>7</v>
      </c>
      <c r="N1350" s="587">
        <f t="shared" si="107"/>
        <v>0</v>
      </c>
      <c r="O1350" s="587">
        <f t="shared" si="107"/>
        <v>0</v>
      </c>
      <c r="P1350" s="587">
        <f t="shared" si="107"/>
        <v>0</v>
      </c>
    </row>
    <row r="1351" spans="2:16">
      <c r="B1351" s="587" t="s">
        <v>868</v>
      </c>
      <c r="C1351" s="587" t="s">
        <v>869</v>
      </c>
      <c r="D1351" s="587" t="s">
        <v>872</v>
      </c>
      <c r="E1351" s="587"/>
      <c r="F1351" s="587" t="str">
        <f t="shared" si="108"/>
        <v>Vélo personnel (y compris vélo à assistance électrique)</v>
      </c>
      <c r="G1351" s="587">
        <f t="shared" si="109"/>
        <v>7</v>
      </c>
      <c r="H1351" s="587"/>
      <c r="I1351" s="587">
        <v>15</v>
      </c>
      <c r="J1351" s="587">
        <f t="shared" si="110"/>
        <v>0</v>
      </c>
      <c r="K1351" s="587"/>
      <c r="L1351" s="587"/>
      <c r="M1351" s="587">
        <f t="shared" si="107"/>
        <v>7</v>
      </c>
      <c r="N1351" s="587">
        <f t="shared" si="107"/>
        <v>0</v>
      </c>
      <c r="O1351" s="587">
        <f t="shared" si="107"/>
        <v>0</v>
      </c>
      <c r="P1351" s="587">
        <f t="shared" si="107"/>
        <v>0</v>
      </c>
    </row>
    <row r="1352" spans="2:16">
      <c r="B1352" s="587" t="s">
        <v>868</v>
      </c>
      <c r="C1352" s="587" t="s">
        <v>869</v>
      </c>
      <c r="D1352" s="587" t="s">
        <v>871</v>
      </c>
      <c r="E1352" s="587"/>
      <c r="F1352" s="587" t="str">
        <f t="shared" si="108"/>
        <v>Marche à pied (exclusivement sur tout le trajet)</v>
      </c>
      <c r="G1352" s="587">
        <f t="shared" si="109"/>
        <v>7</v>
      </c>
      <c r="H1352" s="587"/>
      <c r="I1352" s="587">
        <v>10</v>
      </c>
      <c r="J1352" s="587">
        <f t="shared" si="110"/>
        <v>0</v>
      </c>
      <c r="K1352" s="587"/>
      <c r="L1352" s="587"/>
      <c r="M1352" s="587">
        <f t="shared" si="107"/>
        <v>7</v>
      </c>
      <c r="N1352" s="587">
        <f t="shared" si="107"/>
        <v>0</v>
      </c>
      <c r="O1352" s="587">
        <f t="shared" si="107"/>
        <v>0</v>
      </c>
      <c r="P1352" s="587">
        <f t="shared" si="107"/>
        <v>0</v>
      </c>
    </row>
    <row r="1353" spans="2:16">
      <c r="B1353" s="587" t="s">
        <v>868</v>
      </c>
      <c r="C1353" s="587" t="s">
        <v>869</v>
      </c>
      <c r="D1353" s="587" t="s">
        <v>871</v>
      </c>
      <c r="E1353" s="587"/>
      <c r="F1353" s="587" t="str">
        <f t="shared" si="108"/>
        <v>Marche à pied (exclusivement sur tout le trajet)</v>
      </c>
      <c r="G1353" s="587">
        <f t="shared" si="109"/>
        <v>7</v>
      </c>
      <c r="H1353" s="587"/>
      <c r="I1353" s="587">
        <v>2</v>
      </c>
      <c r="J1353" s="587">
        <f t="shared" si="110"/>
        <v>0</v>
      </c>
      <c r="K1353" s="587"/>
      <c r="L1353" s="587"/>
      <c r="M1353" s="587">
        <f t="shared" si="107"/>
        <v>7</v>
      </c>
      <c r="N1353" s="587">
        <f t="shared" si="107"/>
        <v>0</v>
      </c>
      <c r="O1353" s="587">
        <f t="shared" si="107"/>
        <v>0</v>
      </c>
      <c r="P1353" s="587">
        <f t="shared" si="107"/>
        <v>0</v>
      </c>
    </row>
    <row r="1354" spans="2:16">
      <c r="B1354" s="587" t="s">
        <v>868</v>
      </c>
      <c r="C1354" s="587" t="s">
        <v>869</v>
      </c>
      <c r="D1354" s="587"/>
      <c r="E1354" s="587" t="s">
        <v>878</v>
      </c>
      <c r="F1354" s="587" t="str">
        <f t="shared" si="108"/>
        <v>Marche à pied au-delà de 5 minutes</v>
      </c>
      <c r="G1354" s="587">
        <f t="shared" si="109"/>
        <v>7</v>
      </c>
      <c r="H1354" s="587"/>
      <c r="I1354" s="587">
        <v>45</v>
      </c>
      <c r="J1354" s="587">
        <f t="shared" si="110"/>
        <v>0</v>
      </c>
      <c r="K1354" s="587"/>
      <c r="L1354" s="587"/>
      <c r="M1354" s="587">
        <f t="shared" si="107"/>
        <v>7</v>
      </c>
      <c r="N1354" s="587">
        <f t="shared" si="107"/>
        <v>0</v>
      </c>
      <c r="O1354" s="587">
        <f t="shared" si="107"/>
        <v>0</v>
      </c>
      <c r="P1354" s="587">
        <f t="shared" si="107"/>
        <v>0</v>
      </c>
    </row>
    <row r="1355" spans="2:16">
      <c r="B1355" s="587" t="s">
        <v>868</v>
      </c>
      <c r="C1355" s="587" t="s">
        <v>869</v>
      </c>
      <c r="D1355" s="587" t="s">
        <v>872</v>
      </c>
      <c r="E1355" s="587"/>
      <c r="F1355" s="587" t="str">
        <f t="shared" si="108"/>
        <v>Vélo personnel (y compris vélo à assistance électrique)</v>
      </c>
      <c r="G1355" s="587">
        <f t="shared" si="109"/>
        <v>7</v>
      </c>
      <c r="H1355" s="587"/>
      <c r="I1355" s="587">
        <v>15</v>
      </c>
      <c r="J1355" s="587">
        <f t="shared" si="110"/>
        <v>0</v>
      </c>
      <c r="K1355" s="587"/>
      <c r="L1355" s="587"/>
      <c r="M1355" s="587">
        <f t="shared" si="107"/>
        <v>7</v>
      </c>
      <c r="N1355" s="587">
        <f t="shared" si="107"/>
        <v>0</v>
      </c>
      <c r="O1355" s="587">
        <f t="shared" si="107"/>
        <v>0</v>
      </c>
      <c r="P1355" s="587">
        <f t="shared" si="107"/>
        <v>0</v>
      </c>
    </row>
    <row r="1356" spans="2:16">
      <c r="B1356" s="587" t="s">
        <v>868</v>
      </c>
      <c r="C1356" s="587" t="s">
        <v>869</v>
      </c>
      <c r="D1356" s="587" t="s">
        <v>871</v>
      </c>
      <c r="E1356" s="587"/>
      <c r="F1356" s="587" t="str">
        <f t="shared" si="108"/>
        <v>Marche à pied (exclusivement sur tout le trajet)</v>
      </c>
      <c r="G1356" s="587">
        <f t="shared" si="109"/>
        <v>7</v>
      </c>
      <c r="H1356" s="587"/>
      <c r="I1356" s="587">
        <v>4</v>
      </c>
      <c r="J1356" s="587">
        <f t="shared" si="110"/>
        <v>0</v>
      </c>
      <c r="K1356" s="587"/>
      <c r="L1356" s="587"/>
      <c r="M1356" s="587">
        <f t="shared" si="107"/>
        <v>7</v>
      </c>
      <c r="N1356" s="587">
        <f t="shared" si="107"/>
        <v>0</v>
      </c>
      <c r="O1356" s="587">
        <f t="shared" si="107"/>
        <v>0</v>
      </c>
      <c r="P1356" s="587">
        <f t="shared" si="107"/>
        <v>0</v>
      </c>
    </row>
    <row r="1357" spans="2:16">
      <c r="B1357" s="587" t="s">
        <v>868</v>
      </c>
      <c r="C1357" s="587" t="s">
        <v>869</v>
      </c>
      <c r="D1357" s="587" t="s">
        <v>871</v>
      </c>
      <c r="E1357" s="587"/>
      <c r="F1357" s="587" t="str">
        <f t="shared" si="108"/>
        <v>Marche à pied (exclusivement sur tout le trajet)</v>
      </c>
      <c r="G1357" s="587">
        <f t="shared" si="109"/>
        <v>7</v>
      </c>
      <c r="H1357" s="587"/>
      <c r="I1357" s="587">
        <v>2</v>
      </c>
      <c r="J1357" s="587">
        <f t="shared" si="110"/>
        <v>0</v>
      </c>
      <c r="K1357" s="587"/>
      <c r="L1357" s="587"/>
      <c r="M1357" s="587">
        <f t="shared" si="107"/>
        <v>7</v>
      </c>
      <c r="N1357" s="587">
        <f t="shared" si="107"/>
        <v>0</v>
      </c>
      <c r="O1357" s="587">
        <f t="shared" si="107"/>
        <v>0</v>
      </c>
      <c r="P1357" s="587">
        <f t="shared" si="107"/>
        <v>0</v>
      </c>
    </row>
    <row r="1358" spans="2:16">
      <c r="B1358" s="587" t="s">
        <v>868</v>
      </c>
      <c r="C1358" s="587" t="s">
        <v>869</v>
      </c>
      <c r="D1358" s="587" t="s">
        <v>872</v>
      </c>
      <c r="E1358" s="587"/>
      <c r="F1358" s="587" t="str">
        <f t="shared" si="108"/>
        <v>Vélo personnel (y compris vélo à assistance électrique)</v>
      </c>
      <c r="G1358" s="587">
        <f t="shared" si="109"/>
        <v>7</v>
      </c>
      <c r="H1358" s="587"/>
      <c r="I1358" s="587">
        <v>10</v>
      </c>
      <c r="J1358" s="587">
        <f t="shared" si="110"/>
        <v>0</v>
      </c>
      <c r="K1358" s="587"/>
      <c r="L1358" s="587"/>
      <c r="M1358" s="587">
        <f t="shared" si="107"/>
        <v>7</v>
      </c>
      <c r="N1358" s="587">
        <f t="shared" si="107"/>
        <v>0</v>
      </c>
      <c r="O1358" s="587">
        <f t="shared" si="107"/>
        <v>0</v>
      </c>
      <c r="P1358" s="587">
        <f t="shared" si="107"/>
        <v>0</v>
      </c>
    </row>
    <row r="1359" spans="2:16">
      <c r="B1359" s="587" t="s">
        <v>868</v>
      </c>
      <c r="C1359" s="587" t="s">
        <v>869</v>
      </c>
      <c r="D1359" s="587" t="s">
        <v>871</v>
      </c>
      <c r="E1359" s="587"/>
      <c r="F1359" s="587" t="str">
        <f t="shared" si="108"/>
        <v>Marche à pied (exclusivement sur tout le trajet)</v>
      </c>
      <c r="G1359" s="587">
        <f t="shared" si="109"/>
        <v>7</v>
      </c>
      <c r="H1359" s="587"/>
      <c r="I1359" s="587">
        <v>15</v>
      </c>
      <c r="J1359" s="587">
        <f t="shared" si="110"/>
        <v>0</v>
      </c>
      <c r="K1359" s="587"/>
      <c r="L1359" s="587"/>
      <c r="M1359" s="587">
        <f t="shared" si="107"/>
        <v>7</v>
      </c>
      <c r="N1359" s="587">
        <f t="shared" si="107"/>
        <v>0</v>
      </c>
      <c r="O1359" s="587">
        <f t="shared" si="107"/>
        <v>0</v>
      </c>
      <c r="P1359" s="587">
        <f t="shared" si="107"/>
        <v>0</v>
      </c>
    </row>
    <row r="1360" spans="2:16">
      <c r="B1360" s="587" t="s">
        <v>868</v>
      </c>
      <c r="C1360" s="587" t="s">
        <v>869</v>
      </c>
      <c r="D1360" s="587" t="s">
        <v>871</v>
      </c>
      <c r="E1360" s="587"/>
      <c r="F1360" s="587" t="str">
        <f t="shared" si="108"/>
        <v>Marche à pied (exclusivement sur tout le trajet)</v>
      </c>
      <c r="G1360" s="587">
        <f t="shared" si="109"/>
        <v>7</v>
      </c>
      <c r="H1360" s="587"/>
      <c r="I1360" s="587">
        <v>13</v>
      </c>
      <c r="J1360" s="587">
        <f t="shared" si="110"/>
        <v>0</v>
      </c>
      <c r="K1360" s="587"/>
      <c r="L1360" s="587"/>
      <c r="M1360" s="587">
        <f t="shared" si="107"/>
        <v>7</v>
      </c>
      <c r="N1360" s="587">
        <f t="shared" si="107"/>
        <v>0</v>
      </c>
      <c r="O1360" s="587">
        <f t="shared" si="107"/>
        <v>0</v>
      </c>
      <c r="P1360" s="587">
        <f t="shared" si="107"/>
        <v>0</v>
      </c>
    </row>
    <row r="1361" spans="2:16">
      <c r="B1361" s="587" t="s">
        <v>868</v>
      </c>
      <c r="C1361" s="587" t="s">
        <v>869</v>
      </c>
      <c r="D1361" s="587" t="s">
        <v>871</v>
      </c>
      <c r="E1361" s="587"/>
      <c r="F1361" s="587" t="str">
        <f t="shared" si="108"/>
        <v>Marche à pied (exclusivement sur tout le trajet)</v>
      </c>
      <c r="G1361" s="587">
        <f t="shared" si="109"/>
        <v>7</v>
      </c>
      <c r="H1361" s="587"/>
      <c r="I1361" s="587">
        <v>12</v>
      </c>
      <c r="J1361" s="587">
        <f t="shared" si="110"/>
        <v>0</v>
      </c>
      <c r="K1361" s="587"/>
      <c r="L1361" s="587"/>
      <c r="M1361" s="587">
        <f t="shared" si="107"/>
        <v>7</v>
      </c>
      <c r="N1361" s="587">
        <f t="shared" si="107"/>
        <v>0</v>
      </c>
      <c r="O1361" s="587">
        <f t="shared" si="107"/>
        <v>0</v>
      </c>
      <c r="P1361" s="587">
        <f t="shared" si="107"/>
        <v>0</v>
      </c>
    </row>
    <row r="1362" spans="2:16">
      <c r="B1362" s="587" t="s">
        <v>868</v>
      </c>
      <c r="C1362" s="587" t="s">
        <v>869</v>
      </c>
      <c r="D1362" s="587"/>
      <c r="E1362" s="587" t="s">
        <v>878</v>
      </c>
      <c r="F1362" s="587" t="str">
        <f t="shared" si="108"/>
        <v>Marche à pied au-delà de 5 minutes</v>
      </c>
      <c r="G1362" s="587">
        <f t="shared" si="109"/>
        <v>7</v>
      </c>
      <c r="H1362" s="587"/>
      <c r="I1362" s="587">
        <v>15</v>
      </c>
      <c r="J1362" s="587">
        <f t="shared" si="110"/>
        <v>0</v>
      </c>
      <c r="K1362" s="587"/>
      <c r="L1362" s="587"/>
      <c r="M1362" s="587">
        <f t="shared" si="107"/>
        <v>7</v>
      </c>
      <c r="N1362" s="587">
        <f t="shared" si="107"/>
        <v>0</v>
      </c>
      <c r="O1362" s="587">
        <f t="shared" si="107"/>
        <v>0</v>
      </c>
      <c r="P1362" s="587">
        <f t="shared" si="107"/>
        <v>0</v>
      </c>
    </row>
    <row r="1363" spans="2:16">
      <c r="B1363" s="587" t="s">
        <v>868</v>
      </c>
      <c r="C1363" s="587" t="s">
        <v>869</v>
      </c>
      <c r="D1363" s="587"/>
      <c r="E1363" s="587" t="s">
        <v>878</v>
      </c>
      <c r="F1363" s="587" t="str">
        <f t="shared" si="108"/>
        <v>Marche à pied au-delà de 5 minutes</v>
      </c>
      <c r="G1363" s="587">
        <f t="shared" si="109"/>
        <v>7</v>
      </c>
      <c r="H1363" s="587"/>
      <c r="I1363" s="587">
        <v>30</v>
      </c>
      <c r="J1363" s="587">
        <f t="shared" si="110"/>
        <v>0</v>
      </c>
      <c r="K1363" s="587"/>
      <c r="L1363" s="587"/>
      <c r="M1363" s="587">
        <f t="shared" si="107"/>
        <v>7</v>
      </c>
      <c r="N1363" s="587">
        <f t="shared" si="107"/>
        <v>0</v>
      </c>
      <c r="O1363" s="587">
        <f t="shared" si="107"/>
        <v>0</v>
      </c>
      <c r="P1363" s="587">
        <f t="shared" si="107"/>
        <v>0</v>
      </c>
    </row>
    <row r="1364" spans="2:16">
      <c r="B1364" s="587" t="s">
        <v>868</v>
      </c>
      <c r="C1364" s="587" t="s">
        <v>869</v>
      </c>
      <c r="D1364" s="587" t="s">
        <v>871</v>
      </c>
      <c r="E1364" s="587"/>
      <c r="F1364" s="587" t="str">
        <f t="shared" si="108"/>
        <v>Marche à pied (exclusivement sur tout le trajet)</v>
      </c>
      <c r="G1364" s="587">
        <f t="shared" si="109"/>
        <v>7</v>
      </c>
      <c r="H1364" s="587"/>
      <c r="I1364" s="587">
        <v>8</v>
      </c>
      <c r="J1364" s="587">
        <f t="shared" si="110"/>
        <v>0</v>
      </c>
      <c r="K1364" s="587"/>
      <c r="L1364" s="587"/>
      <c r="M1364" s="587">
        <f t="shared" si="107"/>
        <v>7</v>
      </c>
      <c r="N1364" s="587">
        <f t="shared" si="107"/>
        <v>0</v>
      </c>
      <c r="O1364" s="587">
        <f t="shared" si="107"/>
        <v>0</v>
      </c>
      <c r="P1364" s="587">
        <f t="shared" si="107"/>
        <v>0</v>
      </c>
    </row>
    <row r="1365" spans="2:16">
      <c r="B1365" s="587" t="s">
        <v>868</v>
      </c>
      <c r="C1365" s="587" t="s">
        <v>869</v>
      </c>
      <c r="D1365" s="587" t="s">
        <v>871</v>
      </c>
      <c r="E1365" s="587"/>
      <c r="F1365" s="587" t="str">
        <f t="shared" si="108"/>
        <v>Marche à pied (exclusivement sur tout le trajet)</v>
      </c>
      <c r="G1365" s="587">
        <f t="shared" si="109"/>
        <v>7</v>
      </c>
      <c r="H1365" s="587"/>
      <c r="I1365" s="587">
        <v>5</v>
      </c>
      <c r="J1365" s="587">
        <f t="shared" si="110"/>
        <v>0</v>
      </c>
      <c r="K1365" s="587"/>
      <c r="L1365" s="587"/>
      <c r="M1365" s="587">
        <f t="shared" si="107"/>
        <v>7</v>
      </c>
      <c r="N1365" s="587">
        <f t="shared" si="107"/>
        <v>0</v>
      </c>
      <c r="O1365" s="587">
        <f t="shared" si="107"/>
        <v>0</v>
      </c>
      <c r="P1365" s="587">
        <f t="shared" si="107"/>
        <v>0</v>
      </c>
    </row>
    <row r="1366" spans="2:16">
      <c r="B1366" s="587" t="s">
        <v>868</v>
      </c>
      <c r="C1366" s="587" t="s">
        <v>869</v>
      </c>
      <c r="D1366" s="587" t="s">
        <v>872</v>
      </c>
      <c r="E1366" s="587"/>
      <c r="F1366" s="587" t="str">
        <f t="shared" si="108"/>
        <v>Vélo personnel (y compris vélo à assistance électrique)</v>
      </c>
      <c r="G1366" s="587">
        <f t="shared" si="109"/>
        <v>7</v>
      </c>
      <c r="H1366" s="587"/>
      <c r="I1366" s="587">
        <v>10</v>
      </c>
      <c r="J1366" s="587">
        <f t="shared" si="110"/>
        <v>0</v>
      </c>
      <c r="K1366" s="587"/>
      <c r="L1366" s="587"/>
      <c r="M1366" s="587">
        <f t="shared" si="107"/>
        <v>7</v>
      </c>
      <c r="N1366" s="587">
        <f t="shared" si="107"/>
        <v>0</v>
      </c>
      <c r="O1366" s="587">
        <f t="shared" si="107"/>
        <v>0</v>
      </c>
      <c r="P1366" s="587">
        <f t="shared" si="107"/>
        <v>0</v>
      </c>
    </row>
    <row r="1367" spans="2:16">
      <c r="B1367" s="587" t="s">
        <v>868</v>
      </c>
      <c r="C1367" s="587" t="s">
        <v>869</v>
      </c>
      <c r="D1367" s="587" t="s">
        <v>872</v>
      </c>
      <c r="E1367" s="587"/>
      <c r="F1367" s="587" t="str">
        <f t="shared" si="108"/>
        <v>Vélo personnel (y compris vélo à assistance électrique)</v>
      </c>
      <c r="G1367" s="587">
        <f t="shared" si="109"/>
        <v>7</v>
      </c>
      <c r="H1367" s="587"/>
      <c r="I1367" s="587">
        <v>5</v>
      </c>
      <c r="J1367" s="587">
        <f t="shared" si="110"/>
        <v>0</v>
      </c>
      <c r="K1367" s="587"/>
      <c r="L1367" s="587"/>
      <c r="M1367" s="587">
        <f t="shared" si="107"/>
        <v>7</v>
      </c>
      <c r="N1367" s="587">
        <f t="shared" si="107"/>
        <v>0</v>
      </c>
      <c r="O1367" s="587">
        <f t="shared" si="107"/>
        <v>0</v>
      </c>
      <c r="P1367" s="587">
        <f t="shared" si="107"/>
        <v>0</v>
      </c>
    </row>
    <row r="1368" spans="2:16">
      <c r="B1368" s="587" t="s">
        <v>868</v>
      </c>
      <c r="C1368" s="587" t="s">
        <v>869</v>
      </c>
      <c r="D1368" s="587"/>
      <c r="E1368" s="587" t="s">
        <v>870</v>
      </c>
      <c r="F1368" s="587" t="str">
        <f t="shared" si="108"/>
        <v>Métro</v>
      </c>
      <c r="G1368" s="587">
        <f t="shared" si="109"/>
        <v>1</v>
      </c>
      <c r="H1368" s="587"/>
      <c r="I1368" s="587">
        <v>40</v>
      </c>
      <c r="J1368" s="587">
        <f t="shared" si="110"/>
        <v>4.8833333333333326E-2</v>
      </c>
      <c r="K1368" s="587"/>
      <c r="L1368" s="587"/>
      <c r="M1368" s="587">
        <f t="shared" si="107"/>
        <v>1</v>
      </c>
      <c r="N1368" s="587">
        <f t="shared" si="107"/>
        <v>0</v>
      </c>
      <c r="O1368" s="587">
        <f t="shared" si="107"/>
        <v>0</v>
      </c>
      <c r="P1368" s="587">
        <f t="shared" si="107"/>
        <v>0</v>
      </c>
    </row>
    <row r="1369" spans="2:16">
      <c r="B1369" s="587" t="s">
        <v>868</v>
      </c>
      <c r="C1369" s="587" t="s">
        <v>869</v>
      </c>
      <c r="D1369" s="587" t="s">
        <v>872</v>
      </c>
      <c r="E1369" s="587"/>
      <c r="F1369" s="587" t="str">
        <f t="shared" si="108"/>
        <v>Vélo personnel (y compris vélo à assistance électrique)</v>
      </c>
      <c r="G1369" s="587">
        <f t="shared" si="109"/>
        <v>7</v>
      </c>
      <c r="H1369" s="587"/>
      <c r="I1369" s="587">
        <v>10</v>
      </c>
      <c r="J1369" s="587">
        <f t="shared" si="110"/>
        <v>0</v>
      </c>
      <c r="K1369" s="587"/>
      <c r="L1369" s="587"/>
      <c r="M1369" s="587">
        <f t="shared" si="107"/>
        <v>7</v>
      </c>
      <c r="N1369" s="587">
        <f t="shared" si="107"/>
        <v>0</v>
      </c>
      <c r="O1369" s="587">
        <f t="shared" si="107"/>
        <v>0</v>
      </c>
      <c r="P1369" s="587">
        <f t="shared" ref="P1369:P1432" si="111">IF($C1369=P$27,$G1369,0)</f>
        <v>0</v>
      </c>
    </row>
    <row r="1370" spans="2:16">
      <c r="B1370" s="587" t="s">
        <v>868</v>
      </c>
      <c r="C1370" s="587" t="s">
        <v>869</v>
      </c>
      <c r="D1370" s="587" t="s">
        <v>877</v>
      </c>
      <c r="E1370" s="587"/>
      <c r="F1370" s="587" t="str">
        <f t="shared" si="108"/>
        <v>Vélo’v</v>
      </c>
      <c r="G1370" s="587">
        <f t="shared" si="109"/>
        <v>7</v>
      </c>
      <c r="H1370" s="587"/>
      <c r="I1370" s="587">
        <v>7</v>
      </c>
      <c r="J1370" s="587">
        <f t="shared" si="110"/>
        <v>0</v>
      </c>
      <c r="K1370" s="587"/>
      <c r="L1370" s="587"/>
      <c r="M1370" s="587">
        <f t="shared" ref="M1370:P1433" si="112">IF($C1370=M$27,$G1370,0)</f>
        <v>7</v>
      </c>
      <c r="N1370" s="587">
        <f t="shared" si="112"/>
        <v>0</v>
      </c>
      <c r="O1370" s="587">
        <f t="shared" si="112"/>
        <v>0</v>
      </c>
      <c r="P1370" s="587">
        <f t="shared" si="111"/>
        <v>0</v>
      </c>
    </row>
    <row r="1371" spans="2:16">
      <c r="B1371" s="587" t="s">
        <v>868</v>
      </c>
      <c r="C1371" s="587" t="s">
        <v>869</v>
      </c>
      <c r="D1371" s="587" t="s">
        <v>871</v>
      </c>
      <c r="E1371" s="587"/>
      <c r="F1371" s="587" t="str">
        <f t="shared" si="108"/>
        <v>Marche à pied (exclusivement sur tout le trajet)</v>
      </c>
      <c r="G1371" s="587">
        <f t="shared" si="109"/>
        <v>7</v>
      </c>
      <c r="H1371" s="587"/>
      <c r="I1371" s="587">
        <v>10</v>
      </c>
      <c r="J1371" s="587">
        <f t="shared" ref="J1371:J1402" si="113">IF(G1371=1,$C$6*($I$28*$K$6)/$J$6,IF(G1371=2,$C$7*($I$28*$K$7)/$J$7,IF(G1371=3,$C$8*$I$28*$K$8/$J$8,IF(G1371=4,$C$9*$I$28*$K$9/$J$9,IF(G1371=5,$C$10*$I$28*$K$10/$J$10,IF(G1371=6,$C$11*$K$11*$I$28/$J$11,0))))))</f>
        <v>0</v>
      </c>
      <c r="K1371" s="587"/>
      <c r="L1371" s="587"/>
      <c r="M1371" s="587">
        <f t="shared" si="112"/>
        <v>7</v>
      </c>
      <c r="N1371" s="587">
        <f t="shared" si="112"/>
        <v>0</v>
      </c>
      <c r="O1371" s="587">
        <f t="shared" si="112"/>
        <v>0</v>
      </c>
      <c r="P1371" s="587">
        <f t="shared" si="111"/>
        <v>0</v>
      </c>
    </row>
    <row r="1372" spans="2:16">
      <c r="B1372" s="587" t="s">
        <v>868</v>
      </c>
      <c r="C1372" s="587" t="s">
        <v>869</v>
      </c>
      <c r="D1372" s="587" t="s">
        <v>871</v>
      </c>
      <c r="E1372" s="587"/>
      <c r="F1372" s="587" t="str">
        <f t="shared" si="108"/>
        <v>Marche à pied (exclusivement sur tout le trajet)</v>
      </c>
      <c r="G1372" s="587">
        <f t="shared" si="109"/>
        <v>7</v>
      </c>
      <c r="H1372" s="587"/>
      <c r="I1372" s="587">
        <v>10</v>
      </c>
      <c r="J1372" s="587">
        <f t="shared" si="113"/>
        <v>0</v>
      </c>
      <c r="K1372" s="587"/>
      <c r="L1372" s="587"/>
      <c r="M1372" s="587">
        <f t="shared" si="112"/>
        <v>7</v>
      </c>
      <c r="N1372" s="587">
        <f t="shared" si="112"/>
        <v>0</v>
      </c>
      <c r="O1372" s="587">
        <f t="shared" si="112"/>
        <v>0</v>
      </c>
      <c r="P1372" s="587">
        <f t="shared" si="111"/>
        <v>0</v>
      </c>
    </row>
    <row r="1373" spans="2:16">
      <c r="B1373" s="587" t="s">
        <v>868</v>
      </c>
      <c r="C1373" s="587" t="s">
        <v>869</v>
      </c>
      <c r="D1373" s="587" t="s">
        <v>870</v>
      </c>
      <c r="E1373" s="587"/>
      <c r="F1373" s="587" t="str">
        <f t="shared" si="108"/>
        <v>Métro</v>
      </c>
      <c r="G1373" s="587">
        <f t="shared" si="109"/>
        <v>1</v>
      </c>
      <c r="H1373" s="587"/>
      <c r="I1373" s="587">
        <v>16</v>
      </c>
      <c r="J1373" s="587">
        <f t="shared" si="113"/>
        <v>4.8833333333333326E-2</v>
      </c>
      <c r="K1373" s="587"/>
      <c r="L1373" s="587"/>
      <c r="M1373" s="587">
        <f t="shared" si="112"/>
        <v>1</v>
      </c>
      <c r="N1373" s="587">
        <f t="shared" si="112"/>
        <v>0</v>
      </c>
      <c r="O1373" s="587">
        <f t="shared" si="112"/>
        <v>0</v>
      </c>
      <c r="P1373" s="587">
        <f t="shared" si="111"/>
        <v>0</v>
      </c>
    </row>
    <row r="1374" spans="2:16">
      <c r="B1374" s="587" t="s">
        <v>868</v>
      </c>
      <c r="C1374" s="587" t="s">
        <v>869</v>
      </c>
      <c r="D1374" s="587" t="s">
        <v>871</v>
      </c>
      <c r="E1374" s="587"/>
      <c r="F1374" s="587" t="str">
        <f t="shared" si="108"/>
        <v>Marche à pied (exclusivement sur tout le trajet)</v>
      </c>
      <c r="G1374" s="587">
        <f t="shared" si="109"/>
        <v>7</v>
      </c>
      <c r="H1374" s="587"/>
      <c r="I1374" s="587">
        <v>10</v>
      </c>
      <c r="J1374" s="587">
        <f t="shared" si="113"/>
        <v>0</v>
      </c>
      <c r="K1374" s="587"/>
      <c r="L1374" s="587"/>
      <c r="M1374" s="587">
        <f t="shared" si="112"/>
        <v>7</v>
      </c>
      <c r="N1374" s="587">
        <f t="shared" si="112"/>
        <v>0</v>
      </c>
      <c r="O1374" s="587">
        <f t="shared" si="112"/>
        <v>0</v>
      </c>
      <c r="P1374" s="587">
        <f t="shared" si="111"/>
        <v>0</v>
      </c>
    </row>
    <row r="1375" spans="2:16">
      <c r="B1375" s="587" t="s">
        <v>868</v>
      </c>
      <c r="C1375" s="587" t="s">
        <v>869</v>
      </c>
      <c r="D1375" s="587" t="s">
        <v>871</v>
      </c>
      <c r="E1375" s="587"/>
      <c r="F1375" s="587" t="str">
        <f t="shared" si="108"/>
        <v>Marche à pied (exclusivement sur tout le trajet)</v>
      </c>
      <c r="G1375" s="587">
        <f t="shared" si="109"/>
        <v>7</v>
      </c>
      <c r="H1375" s="587"/>
      <c r="I1375" s="587">
        <v>15</v>
      </c>
      <c r="J1375" s="587">
        <f t="shared" si="113"/>
        <v>0</v>
      </c>
      <c r="K1375" s="587"/>
      <c r="L1375" s="587"/>
      <c r="M1375" s="587">
        <f t="shared" si="112"/>
        <v>7</v>
      </c>
      <c r="N1375" s="587">
        <f t="shared" si="112"/>
        <v>0</v>
      </c>
      <c r="O1375" s="587">
        <f t="shared" si="112"/>
        <v>0</v>
      </c>
      <c r="P1375" s="587">
        <f t="shared" si="111"/>
        <v>0</v>
      </c>
    </row>
    <row r="1376" spans="2:16">
      <c r="B1376" s="587" t="s">
        <v>868</v>
      </c>
      <c r="C1376" s="587" t="s">
        <v>869</v>
      </c>
      <c r="D1376" s="587" t="s">
        <v>871</v>
      </c>
      <c r="E1376" s="587"/>
      <c r="F1376" s="587" t="str">
        <f t="shared" si="108"/>
        <v>Marche à pied (exclusivement sur tout le trajet)</v>
      </c>
      <c r="G1376" s="587">
        <f t="shared" si="109"/>
        <v>7</v>
      </c>
      <c r="H1376" s="587"/>
      <c r="I1376" s="587">
        <v>10</v>
      </c>
      <c r="J1376" s="587">
        <f t="shared" si="113"/>
        <v>0</v>
      </c>
      <c r="K1376" s="587"/>
      <c r="L1376" s="587"/>
      <c r="M1376" s="587">
        <f t="shared" si="112"/>
        <v>7</v>
      </c>
      <c r="N1376" s="587">
        <f t="shared" si="112"/>
        <v>0</v>
      </c>
      <c r="O1376" s="587">
        <f t="shared" si="112"/>
        <v>0</v>
      </c>
      <c r="P1376" s="587">
        <f t="shared" si="111"/>
        <v>0</v>
      </c>
    </row>
    <row r="1377" spans="2:16">
      <c r="B1377" s="587" t="s">
        <v>868</v>
      </c>
      <c r="C1377" s="587" t="s">
        <v>869</v>
      </c>
      <c r="D1377" s="587" t="s">
        <v>871</v>
      </c>
      <c r="E1377" s="587"/>
      <c r="F1377" s="587" t="str">
        <f t="shared" si="108"/>
        <v>Marche à pied (exclusivement sur tout le trajet)</v>
      </c>
      <c r="G1377" s="587">
        <f t="shared" si="109"/>
        <v>7</v>
      </c>
      <c r="H1377" s="587"/>
      <c r="I1377" s="587">
        <v>5</v>
      </c>
      <c r="J1377" s="587">
        <f t="shared" si="113"/>
        <v>0</v>
      </c>
      <c r="K1377" s="587"/>
      <c r="L1377" s="587"/>
      <c r="M1377" s="587">
        <f t="shared" si="112"/>
        <v>7</v>
      </c>
      <c r="N1377" s="587">
        <f t="shared" si="112"/>
        <v>0</v>
      </c>
      <c r="O1377" s="587">
        <f t="shared" si="112"/>
        <v>0</v>
      </c>
      <c r="P1377" s="587">
        <f t="shared" si="111"/>
        <v>0</v>
      </c>
    </row>
    <row r="1378" spans="2:16">
      <c r="B1378" s="587" t="s">
        <v>868</v>
      </c>
      <c r="C1378" s="587" t="s">
        <v>869</v>
      </c>
      <c r="D1378" s="587" t="s">
        <v>871</v>
      </c>
      <c r="E1378" s="587"/>
      <c r="F1378" s="587" t="str">
        <f t="shared" si="108"/>
        <v>Marche à pied (exclusivement sur tout le trajet)</v>
      </c>
      <c r="G1378" s="587">
        <f t="shared" si="109"/>
        <v>7</v>
      </c>
      <c r="H1378" s="587"/>
      <c r="I1378" s="587">
        <v>5</v>
      </c>
      <c r="J1378" s="587">
        <f t="shared" si="113"/>
        <v>0</v>
      </c>
      <c r="K1378" s="587"/>
      <c r="L1378" s="587"/>
      <c r="M1378" s="587">
        <f t="shared" si="112"/>
        <v>7</v>
      </c>
      <c r="N1378" s="587">
        <f t="shared" si="112"/>
        <v>0</v>
      </c>
      <c r="O1378" s="587">
        <f t="shared" si="112"/>
        <v>0</v>
      </c>
      <c r="P1378" s="587">
        <f t="shared" si="111"/>
        <v>0</v>
      </c>
    </row>
    <row r="1379" spans="2:16">
      <c r="B1379" s="587" t="s">
        <v>868</v>
      </c>
      <c r="C1379" s="587" t="s">
        <v>869</v>
      </c>
      <c r="D1379" s="587" t="s">
        <v>871</v>
      </c>
      <c r="E1379" s="587"/>
      <c r="F1379" s="587" t="str">
        <f t="shared" si="108"/>
        <v>Marche à pied (exclusivement sur tout le trajet)</v>
      </c>
      <c r="G1379" s="587">
        <f t="shared" si="109"/>
        <v>7</v>
      </c>
      <c r="H1379" s="587"/>
      <c r="I1379" s="587">
        <v>10</v>
      </c>
      <c r="J1379" s="587">
        <f t="shared" si="113"/>
        <v>0</v>
      </c>
      <c r="K1379" s="587"/>
      <c r="L1379" s="587"/>
      <c r="M1379" s="587">
        <f t="shared" si="112"/>
        <v>7</v>
      </c>
      <c r="N1379" s="587">
        <f t="shared" si="112"/>
        <v>0</v>
      </c>
      <c r="O1379" s="587">
        <f t="shared" si="112"/>
        <v>0</v>
      </c>
      <c r="P1379" s="587">
        <f t="shared" si="111"/>
        <v>0</v>
      </c>
    </row>
    <row r="1380" spans="2:16">
      <c r="B1380" s="587" t="s">
        <v>868</v>
      </c>
      <c r="C1380" s="587" t="s">
        <v>869</v>
      </c>
      <c r="D1380" s="587" t="s">
        <v>876</v>
      </c>
      <c r="E1380" s="587"/>
      <c r="F1380" s="587" t="str">
        <f t="shared" si="108"/>
        <v>Trottinette, roller, skateboard,...</v>
      </c>
      <c r="G1380" s="587">
        <f t="shared" si="109"/>
        <v>7</v>
      </c>
      <c r="H1380" s="587"/>
      <c r="I1380" s="587">
        <v>1</v>
      </c>
      <c r="J1380" s="587">
        <f t="shared" si="113"/>
        <v>0</v>
      </c>
      <c r="K1380" s="587"/>
      <c r="L1380" s="587"/>
      <c r="M1380" s="587">
        <f t="shared" si="112"/>
        <v>7</v>
      </c>
      <c r="N1380" s="587">
        <f t="shared" si="112"/>
        <v>0</v>
      </c>
      <c r="O1380" s="587">
        <f t="shared" si="112"/>
        <v>0</v>
      </c>
      <c r="P1380" s="587">
        <f t="shared" si="111"/>
        <v>0</v>
      </c>
    </row>
    <row r="1381" spans="2:16">
      <c r="B1381" s="587" t="s">
        <v>868</v>
      </c>
      <c r="C1381" s="587" t="s">
        <v>869</v>
      </c>
      <c r="D1381" s="587" t="s">
        <v>872</v>
      </c>
      <c r="E1381" s="587"/>
      <c r="F1381" s="587" t="str">
        <f t="shared" si="108"/>
        <v>Vélo personnel (y compris vélo à assistance électrique)</v>
      </c>
      <c r="G1381" s="587">
        <f t="shared" si="109"/>
        <v>7</v>
      </c>
      <c r="H1381" s="587"/>
      <c r="I1381" s="587">
        <v>20</v>
      </c>
      <c r="J1381" s="587">
        <f t="shared" si="113"/>
        <v>0</v>
      </c>
      <c r="K1381" s="587"/>
      <c r="L1381" s="587"/>
      <c r="M1381" s="587">
        <f t="shared" si="112"/>
        <v>7</v>
      </c>
      <c r="N1381" s="587">
        <f t="shared" si="112"/>
        <v>0</v>
      </c>
      <c r="O1381" s="587">
        <f t="shared" si="112"/>
        <v>0</v>
      </c>
      <c r="P1381" s="587">
        <f t="shared" si="111"/>
        <v>0</v>
      </c>
    </row>
    <row r="1382" spans="2:16">
      <c r="B1382" s="587" t="s">
        <v>868</v>
      </c>
      <c r="C1382" s="587" t="s">
        <v>869</v>
      </c>
      <c r="D1382" s="587" t="s">
        <v>873</v>
      </c>
      <c r="E1382" s="587"/>
      <c r="F1382" s="587" t="str">
        <f t="shared" si="108"/>
        <v>Tramway</v>
      </c>
      <c r="G1382" s="587">
        <f t="shared" si="109"/>
        <v>1</v>
      </c>
      <c r="H1382" s="587"/>
      <c r="I1382" s="587">
        <v>15</v>
      </c>
      <c r="J1382" s="587">
        <f t="shared" si="113"/>
        <v>4.8833333333333326E-2</v>
      </c>
      <c r="K1382" s="587"/>
      <c r="L1382" s="587"/>
      <c r="M1382" s="587">
        <f t="shared" si="112"/>
        <v>1</v>
      </c>
      <c r="N1382" s="587">
        <f t="shared" si="112"/>
        <v>0</v>
      </c>
      <c r="O1382" s="587">
        <f t="shared" si="112"/>
        <v>0</v>
      </c>
      <c r="P1382" s="587">
        <f t="shared" si="111"/>
        <v>0</v>
      </c>
    </row>
    <row r="1383" spans="2:16">
      <c r="B1383" s="587" t="s">
        <v>868</v>
      </c>
      <c r="C1383" s="587" t="s">
        <v>869</v>
      </c>
      <c r="D1383" s="587" t="s">
        <v>871</v>
      </c>
      <c r="E1383" s="587"/>
      <c r="F1383" s="587" t="str">
        <f t="shared" si="108"/>
        <v>Marche à pied (exclusivement sur tout le trajet)</v>
      </c>
      <c r="G1383" s="587">
        <f t="shared" si="109"/>
        <v>7</v>
      </c>
      <c r="H1383" s="587"/>
      <c r="I1383" s="587">
        <v>10</v>
      </c>
      <c r="J1383" s="587">
        <f t="shared" si="113"/>
        <v>0</v>
      </c>
      <c r="K1383" s="587"/>
      <c r="L1383" s="587"/>
      <c r="M1383" s="587">
        <f t="shared" si="112"/>
        <v>7</v>
      </c>
      <c r="N1383" s="587">
        <f t="shared" si="112"/>
        <v>0</v>
      </c>
      <c r="O1383" s="587">
        <f t="shared" si="112"/>
        <v>0</v>
      </c>
      <c r="P1383" s="587">
        <f t="shared" si="111"/>
        <v>0</v>
      </c>
    </row>
    <row r="1384" spans="2:16">
      <c r="B1384" s="587" t="s">
        <v>868</v>
      </c>
      <c r="C1384" s="587" t="s">
        <v>869</v>
      </c>
      <c r="D1384" s="587"/>
      <c r="E1384" s="587" t="s">
        <v>870</v>
      </c>
      <c r="F1384" s="587" t="str">
        <f t="shared" si="108"/>
        <v>Métro</v>
      </c>
      <c r="G1384" s="587">
        <f t="shared" si="109"/>
        <v>1</v>
      </c>
      <c r="H1384" s="587"/>
      <c r="I1384" s="587">
        <v>35</v>
      </c>
      <c r="J1384" s="587">
        <f t="shared" si="113"/>
        <v>4.8833333333333326E-2</v>
      </c>
      <c r="K1384" s="587"/>
      <c r="L1384" s="587"/>
      <c r="M1384" s="587">
        <f t="shared" si="112"/>
        <v>1</v>
      </c>
      <c r="N1384" s="587">
        <f t="shared" si="112"/>
        <v>0</v>
      </c>
      <c r="O1384" s="587">
        <f t="shared" si="112"/>
        <v>0</v>
      </c>
      <c r="P1384" s="587">
        <f t="shared" si="111"/>
        <v>0</v>
      </c>
    </row>
    <row r="1385" spans="2:16">
      <c r="B1385" s="587" t="s">
        <v>868</v>
      </c>
      <c r="C1385" s="587" t="s">
        <v>869</v>
      </c>
      <c r="D1385" s="587" t="s">
        <v>871</v>
      </c>
      <c r="E1385" s="587"/>
      <c r="F1385" s="587" t="str">
        <f t="shared" si="108"/>
        <v>Marche à pied (exclusivement sur tout le trajet)</v>
      </c>
      <c r="G1385" s="587">
        <f t="shared" si="109"/>
        <v>7</v>
      </c>
      <c r="H1385" s="587"/>
      <c r="I1385" s="587">
        <v>2</v>
      </c>
      <c r="J1385" s="587">
        <f t="shared" si="113"/>
        <v>0</v>
      </c>
      <c r="K1385" s="587"/>
      <c r="L1385" s="587"/>
      <c r="M1385" s="587">
        <f t="shared" si="112"/>
        <v>7</v>
      </c>
      <c r="N1385" s="587">
        <f t="shared" si="112"/>
        <v>0</v>
      </c>
      <c r="O1385" s="587">
        <f t="shared" si="112"/>
        <v>0</v>
      </c>
      <c r="P1385" s="587">
        <f t="shared" si="111"/>
        <v>0</v>
      </c>
    </row>
    <row r="1386" spans="2:16">
      <c r="B1386" s="587" t="s">
        <v>868</v>
      </c>
      <c r="C1386" s="587" t="s">
        <v>869</v>
      </c>
      <c r="D1386" s="587" t="s">
        <v>871</v>
      </c>
      <c r="E1386" s="587"/>
      <c r="F1386" s="587" t="str">
        <f t="shared" si="108"/>
        <v>Marche à pied (exclusivement sur tout le trajet)</v>
      </c>
      <c r="G1386" s="587">
        <f t="shared" si="109"/>
        <v>7</v>
      </c>
      <c r="H1386" s="587"/>
      <c r="I1386" s="587">
        <v>5</v>
      </c>
      <c r="J1386" s="587">
        <f t="shared" si="113"/>
        <v>0</v>
      </c>
      <c r="K1386" s="587"/>
      <c r="L1386" s="587"/>
      <c r="M1386" s="587">
        <f t="shared" si="112"/>
        <v>7</v>
      </c>
      <c r="N1386" s="587">
        <f t="shared" si="112"/>
        <v>0</v>
      </c>
      <c r="O1386" s="587">
        <f t="shared" si="112"/>
        <v>0</v>
      </c>
      <c r="P1386" s="587">
        <f t="shared" si="111"/>
        <v>0</v>
      </c>
    </row>
    <row r="1387" spans="2:16">
      <c r="B1387" s="587" t="s">
        <v>868</v>
      </c>
      <c r="C1387" s="587" t="s">
        <v>869</v>
      </c>
      <c r="D1387" s="587" t="s">
        <v>885</v>
      </c>
      <c r="E1387" s="587"/>
      <c r="F1387" s="587" t="str">
        <f t="shared" si="108"/>
        <v>Covoiturage (conducteur(trice))</v>
      </c>
      <c r="G1387" s="587">
        <f t="shared" si="109"/>
        <v>4</v>
      </c>
      <c r="H1387" s="587"/>
      <c r="I1387" s="587">
        <v>7</v>
      </c>
      <c r="J1387" s="587">
        <f t="shared" si="113"/>
        <v>0.69000000000000006</v>
      </c>
      <c r="K1387" s="587"/>
      <c r="L1387" s="587"/>
      <c r="M1387" s="587">
        <f t="shared" si="112"/>
        <v>4</v>
      </c>
      <c r="N1387" s="587">
        <f t="shared" si="112"/>
        <v>0</v>
      </c>
      <c r="O1387" s="587">
        <f t="shared" si="112"/>
        <v>0</v>
      </c>
      <c r="P1387" s="587">
        <f t="shared" si="111"/>
        <v>0</v>
      </c>
    </row>
    <row r="1388" spans="2:16">
      <c r="B1388" s="587" t="s">
        <v>868</v>
      </c>
      <c r="C1388" s="587" t="s">
        <v>869</v>
      </c>
      <c r="D1388" s="587" t="s">
        <v>871</v>
      </c>
      <c r="E1388" s="587"/>
      <c r="F1388" s="587" t="str">
        <f t="shared" si="108"/>
        <v>Marche à pied (exclusivement sur tout le trajet)</v>
      </c>
      <c r="G1388" s="587">
        <f t="shared" si="109"/>
        <v>7</v>
      </c>
      <c r="H1388" s="587"/>
      <c r="I1388" s="587">
        <v>5</v>
      </c>
      <c r="J1388" s="587">
        <f t="shared" si="113"/>
        <v>0</v>
      </c>
      <c r="K1388" s="587"/>
      <c r="L1388" s="587"/>
      <c r="M1388" s="587">
        <f t="shared" si="112"/>
        <v>7</v>
      </c>
      <c r="N1388" s="587">
        <f t="shared" si="112"/>
        <v>0</v>
      </c>
      <c r="O1388" s="587">
        <f t="shared" si="112"/>
        <v>0</v>
      </c>
      <c r="P1388" s="587">
        <f t="shared" si="111"/>
        <v>0</v>
      </c>
    </row>
    <row r="1389" spans="2:16">
      <c r="B1389" s="587" t="s">
        <v>868</v>
      </c>
      <c r="C1389" s="587" t="s">
        <v>869</v>
      </c>
      <c r="D1389" s="587" t="s">
        <v>872</v>
      </c>
      <c r="E1389" s="587"/>
      <c r="F1389" s="587" t="str">
        <f t="shared" si="108"/>
        <v>Vélo personnel (y compris vélo à assistance électrique)</v>
      </c>
      <c r="G1389" s="587">
        <f t="shared" si="109"/>
        <v>7</v>
      </c>
      <c r="H1389" s="587"/>
      <c r="I1389" s="587">
        <v>5</v>
      </c>
      <c r="J1389" s="587">
        <f t="shared" si="113"/>
        <v>0</v>
      </c>
      <c r="K1389" s="587"/>
      <c r="L1389" s="587"/>
      <c r="M1389" s="587">
        <f t="shared" si="112"/>
        <v>7</v>
      </c>
      <c r="N1389" s="587">
        <f t="shared" si="112"/>
        <v>0</v>
      </c>
      <c r="O1389" s="587">
        <f t="shared" si="112"/>
        <v>0</v>
      </c>
      <c r="P1389" s="587">
        <f t="shared" si="111"/>
        <v>0</v>
      </c>
    </row>
    <row r="1390" spans="2:16">
      <c r="B1390" s="587" t="s">
        <v>868</v>
      </c>
      <c r="C1390" s="587" t="s">
        <v>869</v>
      </c>
      <c r="D1390" s="587" t="s">
        <v>871</v>
      </c>
      <c r="E1390" s="587"/>
      <c r="F1390" s="587" t="str">
        <f t="shared" si="108"/>
        <v>Marche à pied (exclusivement sur tout le trajet)</v>
      </c>
      <c r="G1390" s="587">
        <f t="shared" si="109"/>
        <v>7</v>
      </c>
      <c r="H1390" s="587"/>
      <c r="I1390" s="587">
        <v>5</v>
      </c>
      <c r="J1390" s="587">
        <f t="shared" si="113"/>
        <v>0</v>
      </c>
      <c r="K1390" s="587"/>
      <c r="L1390" s="587"/>
      <c r="M1390" s="587">
        <f t="shared" si="112"/>
        <v>7</v>
      </c>
      <c r="N1390" s="587">
        <f t="shared" si="112"/>
        <v>0</v>
      </c>
      <c r="O1390" s="587">
        <f t="shared" si="112"/>
        <v>0</v>
      </c>
      <c r="P1390" s="587">
        <f t="shared" si="111"/>
        <v>0</v>
      </c>
    </row>
    <row r="1391" spans="2:16">
      <c r="B1391" s="587" t="s">
        <v>868</v>
      </c>
      <c r="C1391" s="587" t="s">
        <v>869</v>
      </c>
      <c r="D1391" s="587"/>
      <c r="E1391" s="587" t="s">
        <v>878</v>
      </c>
      <c r="F1391" s="587" t="str">
        <f t="shared" si="108"/>
        <v>Marche à pied au-delà de 5 minutes</v>
      </c>
      <c r="G1391" s="587">
        <f t="shared" si="109"/>
        <v>7</v>
      </c>
      <c r="H1391" s="587"/>
      <c r="I1391" s="587">
        <v>15</v>
      </c>
      <c r="J1391" s="587">
        <f t="shared" si="113"/>
        <v>0</v>
      </c>
      <c r="K1391" s="587"/>
      <c r="L1391" s="587"/>
      <c r="M1391" s="587">
        <f t="shared" si="112"/>
        <v>7</v>
      </c>
      <c r="N1391" s="587">
        <f t="shared" si="112"/>
        <v>0</v>
      </c>
      <c r="O1391" s="587">
        <f t="shared" si="112"/>
        <v>0</v>
      </c>
      <c r="P1391" s="587">
        <f t="shared" si="111"/>
        <v>0</v>
      </c>
    </row>
    <row r="1392" spans="2:16">
      <c r="B1392" s="587" t="s">
        <v>868</v>
      </c>
      <c r="C1392" s="587" t="s">
        <v>869</v>
      </c>
      <c r="D1392" s="587" t="s">
        <v>871</v>
      </c>
      <c r="E1392" s="587"/>
      <c r="F1392" s="587" t="str">
        <f t="shared" si="108"/>
        <v>Marche à pied (exclusivement sur tout le trajet)</v>
      </c>
      <c r="G1392" s="587">
        <f t="shared" si="109"/>
        <v>7</v>
      </c>
      <c r="H1392" s="587"/>
      <c r="I1392" s="587">
        <v>5</v>
      </c>
      <c r="J1392" s="587">
        <f t="shared" si="113"/>
        <v>0</v>
      </c>
      <c r="K1392" s="587"/>
      <c r="L1392" s="587"/>
      <c r="M1392" s="587">
        <f t="shared" si="112"/>
        <v>7</v>
      </c>
      <c r="N1392" s="587">
        <f t="shared" si="112"/>
        <v>0</v>
      </c>
      <c r="O1392" s="587">
        <f t="shared" si="112"/>
        <v>0</v>
      </c>
      <c r="P1392" s="587">
        <f t="shared" si="111"/>
        <v>0</v>
      </c>
    </row>
    <row r="1393" spans="2:16">
      <c r="B1393" s="587" t="s">
        <v>868</v>
      </c>
      <c r="C1393" s="587" t="s">
        <v>869</v>
      </c>
      <c r="D1393" s="587"/>
      <c r="E1393" s="587" t="s">
        <v>873</v>
      </c>
      <c r="F1393" s="587" t="str">
        <f t="shared" si="108"/>
        <v>Tramway</v>
      </c>
      <c r="G1393" s="587">
        <f t="shared" si="109"/>
        <v>1</v>
      </c>
      <c r="H1393" s="587"/>
      <c r="I1393" s="587">
        <v>24</v>
      </c>
      <c r="J1393" s="587">
        <f t="shared" si="113"/>
        <v>4.8833333333333326E-2</v>
      </c>
      <c r="K1393" s="587"/>
      <c r="L1393" s="587"/>
      <c r="M1393" s="587">
        <f t="shared" si="112"/>
        <v>1</v>
      </c>
      <c r="N1393" s="587">
        <f t="shared" si="112"/>
        <v>0</v>
      </c>
      <c r="O1393" s="587">
        <f t="shared" si="112"/>
        <v>0</v>
      </c>
      <c r="P1393" s="587">
        <f t="shared" si="111"/>
        <v>0</v>
      </c>
    </row>
    <row r="1394" spans="2:16">
      <c r="B1394" s="587" t="s">
        <v>868</v>
      </c>
      <c r="C1394" s="587" t="s">
        <v>869</v>
      </c>
      <c r="D1394" s="587" t="s">
        <v>871</v>
      </c>
      <c r="E1394" s="587"/>
      <c r="F1394" s="587" t="str">
        <f t="shared" si="108"/>
        <v>Marche à pied (exclusivement sur tout le trajet)</v>
      </c>
      <c r="G1394" s="587">
        <f t="shared" si="109"/>
        <v>7</v>
      </c>
      <c r="H1394" s="587"/>
      <c r="I1394" s="587">
        <v>1</v>
      </c>
      <c r="J1394" s="587">
        <f t="shared" si="113"/>
        <v>0</v>
      </c>
      <c r="K1394" s="587"/>
      <c r="L1394" s="587"/>
      <c r="M1394" s="587">
        <f t="shared" si="112"/>
        <v>7</v>
      </c>
      <c r="N1394" s="587">
        <f t="shared" si="112"/>
        <v>0</v>
      </c>
      <c r="O1394" s="587">
        <f t="shared" si="112"/>
        <v>0</v>
      </c>
      <c r="P1394" s="587">
        <f t="shared" si="111"/>
        <v>0</v>
      </c>
    </row>
    <row r="1395" spans="2:16">
      <c r="B1395" s="587" t="s">
        <v>868</v>
      </c>
      <c r="C1395" s="587" t="s">
        <v>869</v>
      </c>
      <c r="D1395" s="587" t="s">
        <v>871</v>
      </c>
      <c r="E1395" s="587"/>
      <c r="F1395" s="587" t="str">
        <f t="shared" si="108"/>
        <v>Marche à pied (exclusivement sur tout le trajet)</v>
      </c>
      <c r="G1395" s="587">
        <f t="shared" si="109"/>
        <v>7</v>
      </c>
      <c r="H1395" s="587"/>
      <c r="I1395" s="587">
        <v>5</v>
      </c>
      <c r="J1395" s="587">
        <f t="shared" si="113"/>
        <v>0</v>
      </c>
      <c r="K1395" s="587"/>
      <c r="L1395" s="587"/>
      <c r="M1395" s="587">
        <f t="shared" si="112"/>
        <v>7</v>
      </c>
      <c r="N1395" s="587">
        <f t="shared" si="112"/>
        <v>0</v>
      </c>
      <c r="O1395" s="587">
        <f t="shared" si="112"/>
        <v>0</v>
      </c>
      <c r="P1395" s="587">
        <f t="shared" si="111"/>
        <v>0</v>
      </c>
    </row>
    <row r="1396" spans="2:16">
      <c r="B1396" s="587" t="s">
        <v>868</v>
      </c>
      <c r="C1396" s="587" t="s">
        <v>869</v>
      </c>
      <c r="D1396" s="587" t="s">
        <v>871</v>
      </c>
      <c r="E1396" s="587"/>
      <c r="F1396" s="587" t="str">
        <f t="shared" si="108"/>
        <v>Marche à pied (exclusivement sur tout le trajet)</v>
      </c>
      <c r="G1396" s="587">
        <f t="shared" si="109"/>
        <v>7</v>
      </c>
      <c r="H1396" s="587"/>
      <c r="I1396" s="587">
        <v>10</v>
      </c>
      <c r="J1396" s="587">
        <f t="shared" si="113"/>
        <v>0</v>
      </c>
      <c r="K1396" s="587"/>
      <c r="L1396" s="587"/>
      <c r="M1396" s="587">
        <f t="shared" si="112"/>
        <v>7</v>
      </c>
      <c r="N1396" s="587">
        <f t="shared" si="112"/>
        <v>0</v>
      </c>
      <c r="O1396" s="587">
        <f t="shared" si="112"/>
        <v>0</v>
      </c>
      <c r="P1396" s="587">
        <f t="shared" si="111"/>
        <v>0</v>
      </c>
    </row>
    <row r="1397" spans="2:16">
      <c r="B1397" s="587" t="s">
        <v>868</v>
      </c>
      <c r="C1397" s="587" t="s">
        <v>869</v>
      </c>
      <c r="D1397" s="587" t="s">
        <v>871</v>
      </c>
      <c r="E1397" s="587"/>
      <c r="F1397" s="587" t="str">
        <f t="shared" si="108"/>
        <v>Marche à pied (exclusivement sur tout le trajet)</v>
      </c>
      <c r="G1397" s="587">
        <f t="shared" si="109"/>
        <v>7</v>
      </c>
      <c r="H1397" s="587"/>
      <c r="I1397" s="587">
        <v>10</v>
      </c>
      <c r="J1397" s="587">
        <f t="shared" si="113"/>
        <v>0</v>
      </c>
      <c r="K1397" s="587"/>
      <c r="L1397" s="587"/>
      <c r="M1397" s="587">
        <f t="shared" si="112"/>
        <v>7</v>
      </c>
      <c r="N1397" s="587">
        <f t="shared" si="112"/>
        <v>0</v>
      </c>
      <c r="O1397" s="587">
        <f t="shared" si="112"/>
        <v>0</v>
      </c>
      <c r="P1397" s="587">
        <f t="shared" si="111"/>
        <v>0</v>
      </c>
    </row>
    <row r="1398" spans="2:16">
      <c r="B1398" s="587" t="s">
        <v>868</v>
      </c>
      <c r="C1398" s="587" t="s">
        <v>869</v>
      </c>
      <c r="D1398" s="587" t="s">
        <v>871</v>
      </c>
      <c r="E1398" s="587"/>
      <c r="F1398" s="587" t="str">
        <f t="shared" si="108"/>
        <v>Marche à pied (exclusivement sur tout le trajet)</v>
      </c>
      <c r="G1398" s="587">
        <f t="shared" si="109"/>
        <v>7</v>
      </c>
      <c r="H1398" s="587"/>
      <c r="I1398" s="587">
        <v>3</v>
      </c>
      <c r="J1398" s="587">
        <f t="shared" si="113"/>
        <v>0</v>
      </c>
      <c r="K1398" s="587"/>
      <c r="L1398" s="587"/>
      <c r="M1398" s="587">
        <f t="shared" si="112"/>
        <v>7</v>
      </c>
      <c r="N1398" s="587">
        <f t="shared" si="112"/>
        <v>0</v>
      </c>
      <c r="O1398" s="587">
        <f t="shared" si="112"/>
        <v>0</v>
      </c>
      <c r="P1398" s="587">
        <f t="shared" si="111"/>
        <v>0</v>
      </c>
    </row>
    <row r="1399" spans="2:16">
      <c r="B1399" s="587" t="s">
        <v>868</v>
      </c>
      <c r="C1399" s="587" t="s">
        <v>869</v>
      </c>
      <c r="D1399" s="587" t="s">
        <v>872</v>
      </c>
      <c r="E1399" s="587"/>
      <c r="F1399" s="587" t="str">
        <f t="shared" si="108"/>
        <v>Vélo personnel (y compris vélo à assistance électrique)</v>
      </c>
      <c r="G1399" s="587">
        <f t="shared" si="109"/>
        <v>7</v>
      </c>
      <c r="H1399" s="587"/>
      <c r="I1399" s="587">
        <v>4</v>
      </c>
      <c r="J1399" s="587">
        <f t="shared" si="113"/>
        <v>0</v>
      </c>
      <c r="K1399" s="587"/>
      <c r="L1399" s="587"/>
      <c r="M1399" s="587">
        <f t="shared" si="112"/>
        <v>7</v>
      </c>
      <c r="N1399" s="587">
        <f t="shared" si="112"/>
        <v>0</v>
      </c>
      <c r="O1399" s="587">
        <f t="shared" si="112"/>
        <v>0</v>
      </c>
      <c r="P1399" s="587">
        <f t="shared" si="111"/>
        <v>0</v>
      </c>
    </row>
    <row r="1400" spans="2:16">
      <c r="B1400" s="587" t="s">
        <v>868</v>
      </c>
      <c r="C1400" s="587" t="s">
        <v>869</v>
      </c>
      <c r="D1400" s="587" t="s">
        <v>872</v>
      </c>
      <c r="E1400" s="587"/>
      <c r="F1400" s="587" t="str">
        <f t="shared" si="108"/>
        <v>Vélo personnel (y compris vélo à assistance électrique)</v>
      </c>
      <c r="G1400" s="587">
        <f t="shared" si="109"/>
        <v>7</v>
      </c>
      <c r="H1400" s="587"/>
      <c r="I1400" s="587">
        <v>6</v>
      </c>
      <c r="J1400" s="587">
        <f t="shared" si="113"/>
        <v>0</v>
      </c>
      <c r="K1400" s="587"/>
      <c r="L1400" s="587"/>
      <c r="M1400" s="587">
        <f t="shared" si="112"/>
        <v>7</v>
      </c>
      <c r="N1400" s="587">
        <f t="shared" si="112"/>
        <v>0</v>
      </c>
      <c r="O1400" s="587">
        <f t="shared" si="112"/>
        <v>0</v>
      </c>
      <c r="P1400" s="587">
        <f t="shared" si="111"/>
        <v>0</v>
      </c>
    </row>
    <row r="1401" spans="2:16">
      <c r="B1401" s="587" t="s">
        <v>868</v>
      </c>
      <c r="C1401" s="587" t="s">
        <v>869</v>
      </c>
      <c r="D1401" s="587" t="s">
        <v>873</v>
      </c>
      <c r="E1401" s="587"/>
      <c r="F1401" s="587" t="str">
        <f t="shared" si="108"/>
        <v>Tramway</v>
      </c>
      <c r="G1401" s="587">
        <f t="shared" si="109"/>
        <v>1</v>
      </c>
      <c r="H1401" s="587"/>
      <c r="I1401" s="587">
        <v>20</v>
      </c>
      <c r="J1401" s="587">
        <f t="shared" si="113"/>
        <v>4.8833333333333326E-2</v>
      </c>
      <c r="K1401" s="587"/>
      <c r="L1401" s="587"/>
      <c r="M1401" s="587">
        <f t="shared" si="112"/>
        <v>1</v>
      </c>
      <c r="N1401" s="587">
        <f t="shared" si="112"/>
        <v>0</v>
      </c>
      <c r="O1401" s="587">
        <f t="shared" si="112"/>
        <v>0</v>
      </c>
      <c r="P1401" s="587">
        <f t="shared" si="111"/>
        <v>0</v>
      </c>
    </row>
    <row r="1402" spans="2:16">
      <c r="B1402" s="587" t="s">
        <v>868</v>
      </c>
      <c r="C1402" s="587" t="s">
        <v>869</v>
      </c>
      <c r="D1402" s="587" t="s">
        <v>871</v>
      </c>
      <c r="E1402" s="587"/>
      <c r="F1402" s="587" t="str">
        <f t="shared" si="108"/>
        <v>Marche à pied (exclusivement sur tout le trajet)</v>
      </c>
      <c r="G1402" s="587">
        <f t="shared" si="109"/>
        <v>7</v>
      </c>
      <c r="H1402" s="587"/>
      <c r="I1402" s="587">
        <v>13</v>
      </c>
      <c r="J1402" s="587">
        <f t="shared" si="113"/>
        <v>0</v>
      </c>
      <c r="K1402" s="587"/>
      <c r="L1402" s="587"/>
      <c r="M1402" s="587">
        <f t="shared" si="112"/>
        <v>7</v>
      </c>
      <c r="N1402" s="587">
        <f t="shared" si="112"/>
        <v>0</v>
      </c>
      <c r="O1402" s="587">
        <f t="shared" si="112"/>
        <v>0</v>
      </c>
      <c r="P1402" s="587">
        <f t="shared" si="111"/>
        <v>0</v>
      </c>
    </row>
    <row r="1403" spans="2:16">
      <c r="B1403" s="587" t="s">
        <v>868</v>
      </c>
      <c r="C1403" s="587" t="s">
        <v>869</v>
      </c>
      <c r="D1403" s="587" t="s">
        <v>870</v>
      </c>
      <c r="E1403" s="587"/>
      <c r="F1403" s="587" t="str">
        <f t="shared" ref="F1403:F1466" si="114">IF(D1403="",E1403,D1403)</f>
        <v>Métro</v>
      </c>
      <c r="G1403" s="587">
        <f t="shared" ref="G1403:G1466" si="115">IF(F1403="Métro",1,IF(F1403="Tramway",1,IF(F1403="Vélo'v",7,IF(F1403="Marche à pied (exclusivement sur tout le trajet)",7,IF(F1403="Vélo personnel (y compris vélo à assistance électrique)",7,IF(F1403="Trottinette, roller, skateboard,…",7,IF(F1403="Marche à pied au-delà de 5 minutes",7,IF(F1403="Voiture (seul(e))",3,IF(F1403="Bus",2,IF(F1403="Trottinette, roller, skateboard au-delà de 5 minutes",7,IF(F1403="Covoiturage (passager(ère))",4,IF(F1403="Trottinette, roller, skateboard,...",7,IF(F1403="Vélo’v",7,IF(F1403="Train (TER,TGV,...)",6,IF(F1403="Deux roues motorisées (moto, scooter, mobylette,…)",5,IF(F1403="Covoiturage (conducteur(trice))",4,IF(F1403="Train (TER,..)",6,0)))))))))))))))))</f>
        <v>1</v>
      </c>
      <c r="H1403" s="587"/>
      <c r="I1403" s="587">
        <v>20</v>
      </c>
      <c r="J1403" s="587">
        <f t="shared" ref="J1403:J1434" si="116">IF(G1403=1,$C$6*($I$28*$K$6)/$J$6,IF(G1403=2,$C$7*($I$28*$K$7)/$J$7,IF(G1403=3,$C$8*$I$28*$K$8/$J$8,IF(G1403=4,$C$9*$I$28*$K$9/$J$9,IF(G1403=5,$C$10*$I$28*$K$10/$J$10,IF(G1403=6,$C$11*$K$11*$I$28/$J$11,0))))))</f>
        <v>4.8833333333333326E-2</v>
      </c>
      <c r="K1403" s="587"/>
      <c r="L1403" s="587"/>
      <c r="M1403" s="587">
        <f t="shared" si="112"/>
        <v>1</v>
      </c>
      <c r="N1403" s="587">
        <f t="shared" si="112"/>
        <v>0</v>
      </c>
      <c r="O1403" s="587">
        <f t="shared" si="112"/>
        <v>0</v>
      </c>
      <c r="P1403" s="587">
        <f t="shared" si="111"/>
        <v>0</v>
      </c>
    </row>
    <row r="1404" spans="2:16">
      <c r="B1404" s="587" t="s">
        <v>868</v>
      </c>
      <c r="C1404" s="587" t="s">
        <v>869</v>
      </c>
      <c r="D1404" s="587" t="s">
        <v>871</v>
      </c>
      <c r="E1404" s="587"/>
      <c r="F1404" s="587" t="str">
        <f t="shared" si="114"/>
        <v>Marche à pied (exclusivement sur tout le trajet)</v>
      </c>
      <c r="G1404" s="587">
        <f t="shared" si="115"/>
        <v>7</v>
      </c>
      <c r="H1404" s="587"/>
      <c r="I1404" s="587">
        <v>10</v>
      </c>
      <c r="J1404" s="587">
        <f t="shared" si="116"/>
        <v>0</v>
      </c>
      <c r="K1404" s="587"/>
      <c r="L1404" s="587"/>
      <c r="M1404" s="587">
        <f t="shared" si="112"/>
        <v>7</v>
      </c>
      <c r="N1404" s="587">
        <f t="shared" si="112"/>
        <v>0</v>
      </c>
      <c r="O1404" s="587">
        <f t="shared" si="112"/>
        <v>0</v>
      </c>
      <c r="P1404" s="587">
        <f t="shared" si="111"/>
        <v>0</v>
      </c>
    </row>
    <row r="1405" spans="2:16">
      <c r="B1405" s="587" t="s">
        <v>868</v>
      </c>
      <c r="C1405" s="587" t="s">
        <v>869</v>
      </c>
      <c r="D1405" s="587" t="s">
        <v>871</v>
      </c>
      <c r="E1405" s="587"/>
      <c r="F1405" s="587" t="str">
        <f t="shared" si="114"/>
        <v>Marche à pied (exclusivement sur tout le trajet)</v>
      </c>
      <c r="G1405" s="587">
        <f t="shared" si="115"/>
        <v>7</v>
      </c>
      <c r="H1405" s="587"/>
      <c r="I1405" s="587"/>
      <c r="J1405" s="587">
        <f t="shared" si="116"/>
        <v>0</v>
      </c>
      <c r="K1405" s="587"/>
      <c r="L1405" s="587"/>
      <c r="M1405" s="587">
        <f t="shared" si="112"/>
        <v>7</v>
      </c>
      <c r="N1405" s="587">
        <f t="shared" si="112"/>
        <v>0</v>
      </c>
      <c r="O1405" s="587">
        <f t="shared" si="112"/>
        <v>0</v>
      </c>
      <c r="P1405" s="587">
        <f t="shared" si="111"/>
        <v>0</v>
      </c>
    </row>
    <row r="1406" spans="2:16">
      <c r="B1406" s="587" t="s">
        <v>868</v>
      </c>
      <c r="C1406" s="587" t="s">
        <v>869</v>
      </c>
      <c r="D1406" s="587" t="s">
        <v>879</v>
      </c>
      <c r="E1406" s="587"/>
      <c r="F1406" s="587" t="str">
        <f t="shared" si="114"/>
        <v>Voiture (seul(e))</v>
      </c>
      <c r="G1406" s="587">
        <f t="shared" si="115"/>
        <v>3</v>
      </c>
      <c r="H1406" s="587"/>
      <c r="I1406" s="587">
        <v>70</v>
      </c>
      <c r="J1406" s="587">
        <f t="shared" si="116"/>
        <v>2.7600000000000002</v>
      </c>
      <c r="K1406" s="587"/>
      <c r="L1406" s="587"/>
      <c r="M1406" s="587">
        <f t="shared" si="112"/>
        <v>3</v>
      </c>
      <c r="N1406" s="587">
        <f t="shared" si="112"/>
        <v>0</v>
      </c>
      <c r="O1406" s="587">
        <f t="shared" si="112"/>
        <v>0</v>
      </c>
      <c r="P1406" s="587">
        <f t="shared" si="111"/>
        <v>0</v>
      </c>
    </row>
    <row r="1407" spans="2:16">
      <c r="B1407" s="587" t="s">
        <v>868</v>
      </c>
      <c r="C1407" s="587" t="s">
        <v>869</v>
      </c>
      <c r="D1407" s="587" t="s">
        <v>871</v>
      </c>
      <c r="E1407" s="587"/>
      <c r="F1407" s="587" t="str">
        <f t="shared" si="114"/>
        <v>Marche à pied (exclusivement sur tout le trajet)</v>
      </c>
      <c r="G1407" s="587">
        <f t="shared" si="115"/>
        <v>7</v>
      </c>
      <c r="H1407" s="587"/>
      <c r="I1407" s="587">
        <v>2</v>
      </c>
      <c r="J1407" s="587">
        <f t="shared" si="116"/>
        <v>0</v>
      </c>
      <c r="K1407" s="587"/>
      <c r="L1407" s="587"/>
      <c r="M1407" s="587">
        <f t="shared" si="112"/>
        <v>7</v>
      </c>
      <c r="N1407" s="587">
        <f t="shared" si="112"/>
        <v>0</v>
      </c>
      <c r="O1407" s="587">
        <f t="shared" si="112"/>
        <v>0</v>
      </c>
      <c r="P1407" s="587">
        <f t="shared" si="111"/>
        <v>0</v>
      </c>
    </row>
    <row r="1408" spans="2:16">
      <c r="B1408" s="587" t="s">
        <v>868</v>
      </c>
      <c r="C1408" s="587" t="s">
        <v>869</v>
      </c>
      <c r="D1408" s="587"/>
      <c r="E1408" s="587" t="s">
        <v>870</v>
      </c>
      <c r="F1408" s="587" t="str">
        <f t="shared" si="114"/>
        <v>Métro</v>
      </c>
      <c r="G1408" s="587">
        <f t="shared" si="115"/>
        <v>1</v>
      </c>
      <c r="H1408" s="587"/>
      <c r="I1408" s="587">
        <v>35</v>
      </c>
      <c r="J1408" s="587">
        <f t="shared" si="116"/>
        <v>4.8833333333333326E-2</v>
      </c>
      <c r="K1408" s="587"/>
      <c r="L1408" s="587"/>
      <c r="M1408" s="587">
        <f t="shared" si="112"/>
        <v>1</v>
      </c>
      <c r="N1408" s="587">
        <f t="shared" si="112"/>
        <v>0</v>
      </c>
      <c r="O1408" s="587">
        <f t="shared" si="112"/>
        <v>0</v>
      </c>
      <c r="P1408" s="587">
        <f t="shared" si="111"/>
        <v>0</v>
      </c>
    </row>
    <row r="1409" spans="2:16">
      <c r="B1409" s="587" t="s">
        <v>868</v>
      </c>
      <c r="C1409" s="587" t="s">
        <v>869</v>
      </c>
      <c r="D1409" s="587" t="s">
        <v>872</v>
      </c>
      <c r="E1409" s="587"/>
      <c r="F1409" s="587" t="str">
        <f t="shared" si="114"/>
        <v>Vélo personnel (y compris vélo à assistance électrique)</v>
      </c>
      <c r="G1409" s="587">
        <f t="shared" si="115"/>
        <v>7</v>
      </c>
      <c r="H1409" s="587"/>
      <c r="I1409" s="587">
        <v>10</v>
      </c>
      <c r="J1409" s="587">
        <f t="shared" si="116"/>
        <v>0</v>
      </c>
      <c r="K1409" s="587"/>
      <c r="L1409" s="587"/>
      <c r="M1409" s="587">
        <f t="shared" si="112"/>
        <v>7</v>
      </c>
      <c r="N1409" s="587">
        <f t="shared" si="112"/>
        <v>0</v>
      </c>
      <c r="O1409" s="587">
        <f t="shared" si="112"/>
        <v>0</v>
      </c>
      <c r="P1409" s="587">
        <f t="shared" si="111"/>
        <v>0</v>
      </c>
    </row>
    <row r="1410" spans="2:16">
      <c r="B1410" s="587" t="s">
        <v>868</v>
      </c>
      <c r="C1410" s="587" t="s">
        <v>869</v>
      </c>
      <c r="D1410" s="587" t="s">
        <v>871</v>
      </c>
      <c r="E1410" s="587"/>
      <c r="F1410" s="587" t="str">
        <f t="shared" si="114"/>
        <v>Marche à pied (exclusivement sur tout le trajet)</v>
      </c>
      <c r="G1410" s="587">
        <f t="shared" si="115"/>
        <v>7</v>
      </c>
      <c r="H1410" s="587"/>
      <c r="I1410" s="587">
        <v>15</v>
      </c>
      <c r="J1410" s="587">
        <f t="shared" si="116"/>
        <v>0</v>
      </c>
      <c r="K1410" s="587"/>
      <c r="L1410" s="587"/>
      <c r="M1410" s="587">
        <f t="shared" si="112"/>
        <v>7</v>
      </c>
      <c r="N1410" s="587">
        <f t="shared" si="112"/>
        <v>0</v>
      </c>
      <c r="O1410" s="587">
        <f t="shared" si="112"/>
        <v>0</v>
      </c>
      <c r="P1410" s="587">
        <f t="shared" si="111"/>
        <v>0</v>
      </c>
    </row>
    <row r="1411" spans="2:16">
      <c r="B1411" s="587" t="s">
        <v>868</v>
      </c>
      <c r="C1411" s="587" t="s">
        <v>869</v>
      </c>
      <c r="D1411" s="587"/>
      <c r="E1411" s="587" t="s">
        <v>873</v>
      </c>
      <c r="F1411" s="587" t="str">
        <f t="shared" si="114"/>
        <v>Tramway</v>
      </c>
      <c r="G1411" s="587">
        <f t="shared" si="115"/>
        <v>1</v>
      </c>
      <c r="H1411" s="587"/>
      <c r="I1411" s="587">
        <v>60</v>
      </c>
      <c r="J1411" s="587">
        <f t="shared" si="116"/>
        <v>4.8833333333333326E-2</v>
      </c>
      <c r="K1411" s="587"/>
      <c r="L1411" s="587"/>
      <c r="M1411" s="587">
        <f t="shared" si="112"/>
        <v>1</v>
      </c>
      <c r="N1411" s="587">
        <f t="shared" si="112"/>
        <v>0</v>
      </c>
      <c r="O1411" s="587">
        <f t="shared" si="112"/>
        <v>0</v>
      </c>
      <c r="P1411" s="587">
        <f t="shared" si="111"/>
        <v>0</v>
      </c>
    </row>
    <row r="1412" spans="2:16">
      <c r="B1412" s="587" t="s">
        <v>868</v>
      </c>
      <c r="C1412" s="587" t="s">
        <v>869</v>
      </c>
      <c r="D1412" s="587"/>
      <c r="E1412" s="587" t="s">
        <v>879</v>
      </c>
      <c r="F1412" s="587" t="str">
        <f t="shared" si="114"/>
        <v>Voiture (seul(e))</v>
      </c>
      <c r="G1412" s="587">
        <f t="shared" si="115"/>
        <v>3</v>
      </c>
      <c r="H1412" s="587"/>
      <c r="I1412" s="587">
        <v>17</v>
      </c>
      <c r="J1412" s="587">
        <f t="shared" si="116"/>
        <v>2.7600000000000002</v>
      </c>
      <c r="K1412" s="587"/>
      <c r="L1412" s="587"/>
      <c r="M1412" s="587">
        <f t="shared" si="112"/>
        <v>3</v>
      </c>
      <c r="N1412" s="587">
        <f t="shared" si="112"/>
        <v>0</v>
      </c>
      <c r="O1412" s="587">
        <f t="shared" si="112"/>
        <v>0</v>
      </c>
      <c r="P1412" s="587">
        <f t="shared" si="111"/>
        <v>0</v>
      </c>
    </row>
    <row r="1413" spans="2:16">
      <c r="B1413" s="587" t="s">
        <v>868</v>
      </c>
      <c r="C1413" s="587" t="s">
        <v>869</v>
      </c>
      <c r="D1413" s="587"/>
      <c r="E1413" s="587" t="s">
        <v>870</v>
      </c>
      <c r="F1413" s="587" t="str">
        <f t="shared" si="114"/>
        <v>Métro</v>
      </c>
      <c r="G1413" s="587">
        <f t="shared" si="115"/>
        <v>1</v>
      </c>
      <c r="H1413" s="587"/>
      <c r="I1413" s="587">
        <v>20</v>
      </c>
      <c r="J1413" s="587">
        <f t="shared" si="116"/>
        <v>4.8833333333333326E-2</v>
      </c>
      <c r="K1413" s="587"/>
      <c r="L1413" s="587"/>
      <c r="M1413" s="587">
        <f t="shared" si="112"/>
        <v>1</v>
      </c>
      <c r="N1413" s="587">
        <f t="shared" si="112"/>
        <v>0</v>
      </c>
      <c r="O1413" s="587">
        <f t="shared" si="112"/>
        <v>0</v>
      </c>
      <c r="P1413" s="587">
        <f t="shared" si="111"/>
        <v>0</v>
      </c>
    </row>
    <row r="1414" spans="2:16">
      <c r="B1414" s="587" t="s">
        <v>868</v>
      </c>
      <c r="C1414" s="587" t="s">
        <v>869</v>
      </c>
      <c r="D1414" s="587" t="s">
        <v>871</v>
      </c>
      <c r="E1414" s="587"/>
      <c r="F1414" s="587" t="str">
        <f t="shared" si="114"/>
        <v>Marche à pied (exclusivement sur tout le trajet)</v>
      </c>
      <c r="G1414" s="587">
        <f t="shared" si="115"/>
        <v>7</v>
      </c>
      <c r="H1414" s="587"/>
      <c r="I1414" s="587">
        <v>5</v>
      </c>
      <c r="J1414" s="587">
        <f t="shared" si="116"/>
        <v>0</v>
      </c>
      <c r="K1414" s="587"/>
      <c r="L1414" s="587"/>
      <c r="M1414" s="587">
        <f t="shared" si="112"/>
        <v>7</v>
      </c>
      <c r="N1414" s="587">
        <f t="shared" si="112"/>
        <v>0</v>
      </c>
      <c r="O1414" s="587">
        <f t="shared" si="112"/>
        <v>0</v>
      </c>
      <c r="P1414" s="587">
        <f t="shared" si="111"/>
        <v>0</v>
      </c>
    </row>
    <row r="1415" spans="2:16">
      <c r="B1415" s="587" t="s">
        <v>868</v>
      </c>
      <c r="C1415" s="587" t="s">
        <v>869</v>
      </c>
      <c r="D1415" s="587" t="s">
        <v>879</v>
      </c>
      <c r="E1415" s="587"/>
      <c r="F1415" s="587" t="str">
        <f t="shared" si="114"/>
        <v>Voiture (seul(e))</v>
      </c>
      <c r="G1415" s="587">
        <f t="shared" si="115"/>
        <v>3</v>
      </c>
      <c r="H1415" s="587"/>
      <c r="I1415" s="587">
        <v>20</v>
      </c>
      <c r="J1415" s="587">
        <f t="shared" si="116"/>
        <v>2.7600000000000002</v>
      </c>
      <c r="K1415" s="587"/>
      <c r="L1415" s="587"/>
      <c r="M1415" s="587">
        <f t="shared" si="112"/>
        <v>3</v>
      </c>
      <c r="N1415" s="587">
        <f t="shared" si="112"/>
        <v>0</v>
      </c>
      <c r="O1415" s="587">
        <f t="shared" si="112"/>
        <v>0</v>
      </c>
      <c r="P1415" s="587">
        <f t="shared" si="111"/>
        <v>0</v>
      </c>
    </row>
    <row r="1416" spans="2:16">
      <c r="B1416" s="587" t="s">
        <v>868</v>
      </c>
      <c r="C1416" s="587" t="s">
        <v>869</v>
      </c>
      <c r="D1416" s="587" t="s">
        <v>871</v>
      </c>
      <c r="E1416" s="587"/>
      <c r="F1416" s="587" t="str">
        <f t="shared" si="114"/>
        <v>Marche à pied (exclusivement sur tout le trajet)</v>
      </c>
      <c r="G1416" s="587">
        <f t="shared" si="115"/>
        <v>7</v>
      </c>
      <c r="H1416" s="587"/>
      <c r="I1416" s="587">
        <v>6</v>
      </c>
      <c r="J1416" s="587">
        <f t="shared" si="116"/>
        <v>0</v>
      </c>
      <c r="K1416" s="587"/>
      <c r="L1416" s="587"/>
      <c r="M1416" s="587">
        <f t="shared" si="112"/>
        <v>7</v>
      </c>
      <c r="N1416" s="587">
        <f t="shared" si="112"/>
        <v>0</v>
      </c>
      <c r="O1416" s="587">
        <f t="shared" si="112"/>
        <v>0</v>
      </c>
      <c r="P1416" s="587">
        <f t="shared" si="111"/>
        <v>0</v>
      </c>
    </row>
    <row r="1417" spans="2:16">
      <c r="B1417" s="587" t="s">
        <v>868</v>
      </c>
      <c r="C1417" s="587" t="s">
        <v>869</v>
      </c>
      <c r="D1417" s="587" t="s">
        <v>871</v>
      </c>
      <c r="E1417" s="587"/>
      <c r="F1417" s="587" t="str">
        <f t="shared" si="114"/>
        <v>Marche à pied (exclusivement sur tout le trajet)</v>
      </c>
      <c r="G1417" s="587">
        <f t="shared" si="115"/>
        <v>7</v>
      </c>
      <c r="H1417" s="587"/>
      <c r="I1417" s="587">
        <v>5</v>
      </c>
      <c r="J1417" s="587">
        <f t="shared" si="116"/>
        <v>0</v>
      </c>
      <c r="K1417" s="587"/>
      <c r="L1417" s="587"/>
      <c r="M1417" s="587">
        <f t="shared" si="112"/>
        <v>7</v>
      </c>
      <c r="N1417" s="587">
        <f t="shared" si="112"/>
        <v>0</v>
      </c>
      <c r="O1417" s="587">
        <f t="shared" si="112"/>
        <v>0</v>
      </c>
      <c r="P1417" s="587">
        <f t="shared" si="111"/>
        <v>0</v>
      </c>
    </row>
    <row r="1418" spans="2:16">
      <c r="B1418" s="587" t="s">
        <v>868</v>
      </c>
      <c r="C1418" s="587" t="s">
        <v>869</v>
      </c>
      <c r="D1418" s="587" t="s">
        <v>879</v>
      </c>
      <c r="E1418" s="587"/>
      <c r="F1418" s="587" t="str">
        <f t="shared" si="114"/>
        <v>Voiture (seul(e))</v>
      </c>
      <c r="G1418" s="587">
        <f t="shared" si="115"/>
        <v>3</v>
      </c>
      <c r="H1418" s="587"/>
      <c r="I1418" s="587">
        <v>10</v>
      </c>
      <c r="J1418" s="587">
        <f t="shared" si="116"/>
        <v>2.7600000000000002</v>
      </c>
      <c r="K1418" s="587"/>
      <c r="L1418" s="587"/>
      <c r="M1418" s="587">
        <f t="shared" si="112"/>
        <v>3</v>
      </c>
      <c r="N1418" s="587">
        <f t="shared" si="112"/>
        <v>0</v>
      </c>
      <c r="O1418" s="587">
        <f t="shared" si="112"/>
        <v>0</v>
      </c>
      <c r="P1418" s="587">
        <f t="shared" si="111"/>
        <v>0</v>
      </c>
    </row>
    <row r="1419" spans="2:16">
      <c r="B1419" s="587" t="s">
        <v>868</v>
      </c>
      <c r="C1419" s="587" t="s">
        <v>869</v>
      </c>
      <c r="D1419" s="587" t="s">
        <v>872</v>
      </c>
      <c r="E1419" s="587"/>
      <c r="F1419" s="587" t="str">
        <f t="shared" si="114"/>
        <v>Vélo personnel (y compris vélo à assistance électrique)</v>
      </c>
      <c r="G1419" s="587">
        <f t="shared" si="115"/>
        <v>7</v>
      </c>
      <c r="H1419" s="587"/>
      <c r="I1419" s="587"/>
      <c r="J1419" s="587">
        <f t="shared" si="116"/>
        <v>0</v>
      </c>
      <c r="K1419" s="587"/>
      <c r="L1419" s="587"/>
      <c r="M1419" s="587">
        <f t="shared" si="112"/>
        <v>7</v>
      </c>
      <c r="N1419" s="587">
        <f t="shared" si="112"/>
        <v>0</v>
      </c>
      <c r="O1419" s="587">
        <f t="shared" si="112"/>
        <v>0</v>
      </c>
      <c r="P1419" s="587">
        <f t="shared" si="111"/>
        <v>0</v>
      </c>
    </row>
    <row r="1420" spans="2:16">
      <c r="B1420" s="587" t="s">
        <v>868</v>
      </c>
      <c r="C1420" s="587" t="s">
        <v>869</v>
      </c>
      <c r="D1420" s="587" t="s">
        <v>871</v>
      </c>
      <c r="E1420" s="587"/>
      <c r="F1420" s="587" t="str">
        <f t="shared" si="114"/>
        <v>Marche à pied (exclusivement sur tout le trajet)</v>
      </c>
      <c r="G1420" s="587">
        <f t="shared" si="115"/>
        <v>7</v>
      </c>
      <c r="H1420" s="587"/>
      <c r="I1420" s="587">
        <v>15</v>
      </c>
      <c r="J1420" s="587">
        <f t="shared" si="116"/>
        <v>0</v>
      </c>
      <c r="K1420" s="587"/>
      <c r="L1420" s="587"/>
      <c r="M1420" s="587">
        <f t="shared" si="112"/>
        <v>7</v>
      </c>
      <c r="N1420" s="587">
        <f t="shared" si="112"/>
        <v>0</v>
      </c>
      <c r="O1420" s="587">
        <f t="shared" si="112"/>
        <v>0</v>
      </c>
      <c r="P1420" s="587">
        <f t="shared" si="111"/>
        <v>0</v>
      </c>
    </row>
    <row r="1421" spans="2:16">
      <c r="B1421" s="587" t="s">
        <v>868</v>
      </c>
      <c r="C1421" s="587" t="s">
        <v>869</v>
      </c>
      <c r="D1421" s="587" t="s">
        <v>871</v>
      </c>
      <c r="E1421" s="587"/>
      <c r="F1421" s="587" t="str">
        <f t="shared" si="114"/>
        <v>Marche à pied (exclusivement sur tout le trajet)</v>
      </c>
      <c r="G1421" s="587">
        <f t="shared" si="115"/>
        <v>7</v>
      </c>
      <c r="H1421" s="587"/>
      <c r="I1421" s="587">
        <v>5</v>
      </c>
      <c r="J1421" s="587">
        <f t="shared" si="116"/>
        <v>0</v>
      </c>
      <c r="K1421" s="587"/>
      <c r="L1421" s="587"/>
      <c r="M1421" s="587">
        <f t="shared" si="112"/>
        <v>7</v>
      </c>
      <c r="N1421" s="587">
        <f t="shared" si="112"/>
        <v>0</v>
      </c>
      <c r="O1421" s="587">
        <f t="shared" si="112"/>
        <v>0</v>
      </c>
      <c r="P1421" s="587">
        <f t="shared" si="111"/>
        <v>0</v>
      </c>
    </row>
    <row r="1422" spans="2:16">
      <c r="B1422" s="587" t="s">
        <v>868</v>
      </c>
      <c r="C1422" s="587" t="s">
        <v>869</v>
      </c>
      <c r="D1422" s="587" t="s">
        <v>871</v>
      </c>
      <c r="E1422" s="587"/>
      <c r="F1422" s="587" t="str">
        <f t="shared" si="114"/>
        <v>Marche à pied (exclusivement sur tout le trajet)</v>
      </c>
      <c r="G1422" s="587">
        <f t="shared" si="115"/>
        <v>7</v>
      </c>
      <c r="H1422" s="587"/>
      <c r="I1422" s="587">
        <v>5</v>
      </c>
      <c r="J1422" s="587">
        <f t="shared" si="116"/>
        <v>0</v>
      </c>
      <c r="K1422" s="587"/>
      <c r="L1422" s="587"/>
      <c r="M1422" s="587">
        <f t="shared" si="112"/>
        <v>7</v>
      </c>
      <c r="N1422" s="587">
        <f t="shared" si="112"/>
        <v>0</v>
      </c>
      <c r="O1422" s="587">
        <f t="shared" si="112"/>
        <v>0</v>
      </c>
      <c r="P1422" s="587">
        <f t="shared" si="111"/>
        <v>0</v>
      </c>
    </row>
    <row r="1423" spans="2:16">
      <c r="B1423" s="587" t="s">
        <v>868</v>
      </c>
      <c r="C1423" s="587" t="s">
        <v>869</v>
      </c>
      <c r="D1423" s="587"/>
      <c r="E1423" s="587" t="s">
        <v>870</v>
      </c>
      <c r="F1423" s="587" t="str">
        <f t="shared" si="114"/>
        <v>Métro</v>
      </c>
      <c r="G1423" s="587">
        <f t="shared" si="115"/>
        <v>1</v>
      </c>
      <c r="H1423" s="587"/>
      <c r="I1423" s="587">
        <v>25</v>
      </c>
      <c r="J1423" s="587">
        <f t="shared" si="116"/>
        <v>4.8833333333333326E-2</v>
      </c>
      <c r="K1423" s="587"/>
      <c r="L1423" s="587"/>
      <c r="M1423" s="587">
        <f t="shared" si="112"/>
        <v>1</v>
      </c>
      <c r="N1423" s="587">
        <f t="shared" si="112"/>
        <v>0</v>
      </c>
      <c r="O1423" s="587">
        <f t="shared" si="112"/>
        <v>0</v>
      </c>
      <c r="P1423" s="587">
        <f t="shared" si="111"/>
        <v>0</v>
      </c>
    </row>
    <row r="1424" spans="2:16">
      <c r="B1424" s="587" t="s">
        <v>868</v>
      </c>
      <c r="C1424" s="587" t="s">
        <v>869</v>
      </c>
      <c r="D1424" s="587" t="s">
        <v>872</v>
      </c>
      <c r="E1424" s="587"/>
      <c r="F1424" s="587" t="str">
        <f t="shared" si="114"/>
        <v>Vélo personnel (y compris vélo à assistance électrique)</v>
      </c>
      <c r="G1424" s="587">
        <f t="shared" si="115"/>
        <v>7</v>
      </c>
      <c r="H1424" s="587"/>
      <c r="I1424" s="587">
        <v>10</v>
      </c>
      <c r="J1424" s="587">
        <f t="shared" si="116"/>
        <v>0</v>
      </c>
      <c r="K1424" s="587"/>
      <c r="L1424" s="587"/>
      <c r="M1424" s="587">
        <f t="shared" si="112"/>
        <v>7</v>
      </c>
      <c r="N1424" s="587">
        <f t="shared" si="112"/>
        <v>0</v>
      </c>
      <c r="O1424" s="587">
        <f t="shared" si="112"/>
        <v>0</v>
      </c>
      <c r="P1424" s="587">
        <f t="shared" si="111"/>
        <v>0</v>
      </c>
    </row>
    <row r="1425" spans="2:16">
      <c r="B1425" s="587" t="s">
        <v>868</v>
      </c>
      <c r="C1425" s="587" t="s">
        <v>869</v>
      </c>
      <c r="D1425" s="587"/>
      <c r="E1425" s="587" t="s">
        <v>848</v>
      </c>
      <c r="F1425" s="587" t="str">
        <f t="shared" si="114"/>
        <v>Bus</v>
      </c>
      <c r="G1425" s="587">
        <f t="shared" si="115"/>
        <v>2</v>
      </c>
      <c r="H1425" s="587"/>
      <c r="I1425" s="587">
        <v>30</v>
      </c>
      <c r="J1425" s="587">
        <f t="shared" si="116"/>
        <v>1.29</v>
      </c>
      <c r="K1425" s="587"/>
      <c r="L1425" s="587"/>
      <c r="M1425" s="587">
        <f t="shared" si="112"/>
        <v>2</v>
      </c>
      <c r="N1425" s="587">
        <f t="shared" si="112"/>
        <v>0</v>
      </c>
      <c r="O1425" s="587">
        <f t="shared" si="112"/>
        <v>0</v>
      </c>
      <c r="P1425" s="587">
        <f t="shared" si="111"/>
        <v>0</v>
      </c>
    </row>
    <row r="1426" spans="2:16">
      <c r="B1426" s="587" t="s">
        <v>868</v>
      </c>
      <c r="C1426" s="587" t="s">
        <v>869</v>
      </c>
      <c r="D1426" s="587" t="s">
        <v>871</v>
      </c>
      <c r="E1426" s="587"/>
      <c r="F1426" s="587" t="str">
        <f t="shared" si="114"/>
        <v>Marche à pied (exclusivement sur tout le trajet)</v>
      </c>
      <c r="G1426" s="587">
        <f t="shared" si="115"/>
        <v>7</v>
      </c>
      <c r="H1426" s="587"/>
      <c r="I1426" s="587">
        <v>5</v>
      </c>
      <c r="J1426" s="587">
        <f t="shared" si="116"/>
        <v>0</v>
      </c>
      <c r="K1426" s="587"/>
      <c r="L1426" s="587"/>
      <c r="M1426" s="587">
        <f t="shared" si="112"/>
        <v>7</v>
      </c>
      <c r="N1426" s="587">
        <f t="shared" si="112"/>
        <v>0</v>
      </c>
      <c r="O1426" s="587">
        <f t="shared" si="112"/>
        <v>0</v>
      </c>
      <c r="P1426" s="587">
        <f t="shared" si="111"/>
        <v>0</v>
      </c>
    </row>
    <row r="1427" spans="2:16">
      <c r="B1427" s="587" t="s">
        <v>868</v>
      </c>
      <c r="C1427" s="587" t="s">
        <v>869</v>
      </c>
      <c r="D1427" s="587"/>
      <c r="E1427" s="587" t="s">
        <v>870</v>
      </c>
      <c r="F1427" s="587" t="str">
        <f t="shared" si="114"/>
        <v>Métro</v>
      </c>
      <c r="G1427" s="587">
        <f t="shared" si="115"/>
        <v>1</v>
      </c>
      <c r="H1427" s="587"/>
      <c r="I1427" s="587">
        <v>3</v>
      </c>
      <c r="J1427" s="587">
        <f t="shared" si="116"/>
        <v>4.8833333333333326E-2</v>
      </c>
      <c r="K1427" s="587"/>
      <c r="L1427" s="587"/>
      <c r="M1427" s="587">
        <f t="shared" si="112"/>
        <v>1</v>
      </c>
      <c r="N1427" s="587">
        <f t="shared" si="112"/>
        <v>0</v>
      </c>
      <c r="O1427" s="587">
        <f t="shared" si="112"/>
        <v>0</v>
      </c>
      <c r="P1427" s="587">
        <f t="shared" si="111"/>
        <v>0</v>
      </c>
    </row>
    <row r="1428" spans="2:16">
      <c r="B1428" s="587" t="s">
        <v>868</v>
      </c>
      <c r="C1428" s="587" t="s">
        <v>869</v>
      </c>
      <c r="D1428" s="587" t="s">
        <v>872</v>
      </c>
      <c r="E1428" s="587"/>
      <c r="F1428" s="587" t="str">
        <f t="shared" si="114"/>
        <v>Vélo personnel (y compris vélo à assistance électrique)</v>
      </c>
      <c r="G1428" s="587">
        <f t="shared" si="115"/>
        <v>7</v>
      </c>
      <c r="H1428" s="587"/>
      <c r="I1428" s="587">
        <v>12</v>
      </c>
      <c r="J1428" s="587">
        <f t="shared" si="116"/>
        <v>0</v>
      </c>
      <c r="K1428" s="587"/>
      <c r="L1428" s="587"/>
      <c r="M1428" s="587">
        <f t="shared" si="112"/>
        <v>7</v>
      </c>
      <c r="N1428" s="587">
        <f t="shared" si="112"/>
        <v>0</v>
      </c>
      <c r="O1428" s="587">
        <f t="shared" si="112"/>
        <v>0</v>
      </c>
      <c r="P1428" s="587">
        <f t="shared" si="111"/>
        <v>0</v>
      </c>
    </row>
    <row r="1429" spans="2:16">
      <c r="B1429" s="587" t="s">
        <v>868</v>
      </c>
      <c r="C1429" s="587" t="s">
        <v>869</v>
      </c>
      <c r="D1429" s="587" t="s">
        <v>871</v>
      </c>
      <c r="E1429" s="587"/>
      <c r="F1429" s="587" t="str">
        <f t="shared" si="114"/>
        <v>Marche à pied (exclusivement sur tout le trajet)</v>
      </c>
      <c r="G1429" s="587">
        <f t="shared" si="115"/>
        <v>7</v>
      </c>
      <c r="H1429" s="587"/>
      <c r="I1429" s="587">
        <v>10</v>
      </c>
      <c r="J1429" s="587">
        <f t="shared" si="116"/>
        <v>0</v>
      </c>
      <c r="K1429" s="587"/>
      <c r="L1429" s="587"/>
      <c r="M1429" s="587">
        <f t="shared" si="112"/>
        <v>7</v>
      </c>
      <c r="N1429" s="587">
        <f t="shared" si="112"/>
        <v>0</v>
      </c>
      <c r="O1429" s="587">
        <f t="shared" si="112"/>
        <v>0</v>
      </c>
      <c r="P1429" s="587">
        <f t="shared" si="111"/>
        <v>0</v>
      </c>
    </row>
    <row r="1430" spans="2:16">
      <c r="B1430" s="587" t="s">
        <v>868</v>
      </c>
      <c r="C1430" s="587" t="s">
        <v>869</v>
      </c>
      <c r="D1430" s="587" t="s">
        <v>871</v>
      </c>
      <c r="E1430" s="587"/>
      <c r="F1430" s="587" t="str">
        <f t="shared" si="114"/>
        <v>Marche à pied (exclusivement sur tout le trajet)</v>
      </c>
      <c r="G1430" s="587">
        <f t="shared" si="115"/>
        <v>7</v>
      </c>
      <c r="H1430" s="587"/>
      <c r="I1430" s="587">
        <v>10</v>
      </c>
      <c r="J1430" s="587">
        <f t="shared" si="116"/>
        <v>0</v>
      </c>
      <c r="K1430" s="587"/>
      <c r="L1430" s="587"/>
      <c r="M1430" s="587">
        <f t="shared" si="112"/>
        <v>7</v>
      </c>
      <c r="N1430" s="587">
        <f t="shared" si="112"/>
        <v>0</v>
      </c>
      <c r="O1430" s="587">
        <f t="shared" si="112"/>
        <v>0</v>
      </c>
      <c r="P1430" s="587">
        <f t="shared" si="111"/>
        <v>0</v>
      </c>
    </row>
    <row r="1431" spans="2:16">
      <c r="B1431" s="587" t="s">
        <v>868</v>
      </c>
      <c r="C1431" s="587" t="s">
        <v>869</v>
      </c>
      <c r="D1431" s="587" t="s">
        <v>872</v>
      </c>
      <c r="E1431" s="587"/>
      <c r="F1431" s="587" t="str">
        <f t="shared" si="114"/>
        <v>Vélo personnel (y compris vélo à assistance électrique)</v>
      </c>
      <c r="G1431" s="587">
        <f t="shared" si="115"/>
        <v>7</v>
      </c>
      <c r="H1431" s="587"/>
      <c r="I1431" s="587">
        <v>5</v>
      </c>
      <c r="J1431" s="587">
        <f t="shared" si="116"/>
        <v>0</v>
      </c>
      <c r="K1431" s="587"/>
      <c r="L1431" s="587"/>
      <c r="M1431" s="587">
        <f t="shared" si="112"/>
        <v>7</v>
      </c>
      <c r="N1431" s="587">
        <f t="shared" si="112"/>
        <v>0</v>
      </c>
      <c r="O1431" s="587">
        <f t="shared" si="112"/>
        <v>0</v>
      </c>
      <c r="P1431" s="587">
        <f t="shared" si="111"/>
        <v>0</v>
      </c>
    </row>
    <row r="1432" spans="2:16">
      <c r="B1432" s="587" t="s">
        <v>868</v>
      </c>
      <c r="C1432" s="587" t="s">
        <v>869</v>
      </c>
      <c r="D1432" s="587" t="s">
        <v>885</v>
      </c>
      <c r="E1432" s="587"/>
      <c r="F1432" s="587" t="str">
        <f t="shared" si="114"/>
        <v>Covoiturage (conducteur(trice))</v>
      </c>
      <c r="G1432" s="587">
        <f t="shared" si="115"/>
        <v>4</v>
      </c>
      <c r="H1432" s="587"/>
      <c r="I1432" s="587">
        <v>10</v>
      </c>
      <c r="J1432" s="587">
        <f t="shared" si="116"/>
        <v>0.69000000000000006</v>
      </c>
      <c r="K1432" s="587"/>
      <c r="L1432" s="587"/>
      <c r="M1432" s="587">
        <f t="shared" si="112"/>
        <v>4</v>
      </c>
      <c r="N1432" s="587">
        <f t="shared" si="112"/>
        <v>0</v>
      </c>
      <c r="O1432" s="587">
        <f t="shared" si="112"/>
        <v>0</v>
      </c>
      <c r="P1432" s="587">
        <f t="shared" si="111"/>
        <v>0</v>
      </c>
    </row>
    <row r="1433" spans="2:16">
      <c r="B1433" s="587" t="s">
        <v>868</v>
      </c>
      <c r="C1433" s="587" t="s">
        <v>869</v>
      </c>
      <c r="D1433" s="587" t="s">
        <v>871</v>
      </c>
      <c r="E1433" s="587"/>
      <c r="F1433" s="587" t="str">
        <f t="shared" si="114"/>
        <v>Marche à pied (exclusivement sur tout le trajet)</v>
      </c>
      <c r="G1433" s="587">
        <f t="shared" si="115"/>
        <v>7</v>
      </c>
      <c r="H1433" s="587"/>
      <c r="I1433" s="587">
        <v>2</v>
      </c>
      <c r="J1433" s="587">
        <f t="shared" si="116"/>
        <v>0</v>
      </c>
      <c r="K1433" s="587"/>
      <c r="L1433" s="587"/>
      <c r="M1433" s="587">
        <f t="shared" si="112"/>
        <v>7</v>
      </c>
      <c r="N1433" s="587">
        <f t="shared" si="112"/>
        <v>0</v>
      </c>
      <c r="O1433" s="587">
        <f t="shared" si="112"/>
        <v>0</v>
      </c>
      <c r="P1433" s="587">
        <f t="shared" si="112"/>
        <v>0</v>
      </c>
    </row>
    <row r="1434" spans="2:16">
      <c r="B1434" s="587" t="s">
        <v>868</v>
      </c>
      <c r="C1434" s="587" t="s">
        <v>869</v>
      </c>
      <c r="D1434" s="587" t="s">
        <v>872</v>
      </c>
      <c r="E1434" s="587"/>
      <c r="F1434" s="587" t="str">
        <f t="shared" si="114"/>
        <v>Vélo personnel (y compris vélo à assistance électrique)</v>
      </c>
      <c r="G1434" s="587">
        <f t="shared" si="115"/>
        <v>7</v>
      </c>
      <c r="H1434" s="587"/>
      <c r="I1434" s="587">
        <v>6</v>
      </c>
      <c r="J1434" s="587">
        <f t="shared" si="116"/>
        <v>0</v>
      </c>
      <c r="K1434" s="587"/>
      <c r="L1434" s="587"/>
      <c r="M1434" s="587">
        <f t="shared" ref="M1434:P1497" si="117">IF($C1434=M$27,$G1434,0)</f>
        <v>7</v>
      </c>
      <c r="N1434" s="587">
        <f t="shared" si="117"/>
        <v>0</v>
      </c>
      <c r="O1434" s="587">
        <f t="shared" si="117"/>
        <v>0</v>
      </c>
      <c r="P1434" s="587">
        <f t="shared" si="117"/>
        <v>0</v>
      </c>
    </row>
    <row r="1435" spans="2:16">
      <c r="B1435" s="587" t="s">
        <v>868</v>
      </c>
      <c r="C1435" s="587" t="s">
        <v>869</v>
      </c>
      <c r="D1435" s="587" t="s">
        <v>873</v>
      </c>
      <c r="E1435" s="587"/>
      <c r="F1435" s="587" t="str">
        <f t="shared" si="114"/>
        <v>Tramway</v>
      </c>
      <c r="G1435" s="587">
        <f t="shared" si="115"/>
        <v>1</v>
      </c>
      <c r="H1435" s="587"/>
      <c r="I1435" s="587">
        <v>20</v>
      </c>
      <c r="J1435" s="587">
        <f t="shared" ref="J1435:J1466" si="118">IF(G1435=1,$C$6*($I$28*$K$6)/$J$6,IF(G1435=2,$C$7*($I$28*$K$7)/$J$7,IF(G1435=3,$C$8*$I$28*$K$8/$J$8,IF(G1435=4,$C$9*$I$28*$K$9/$J$9,IF(G1435=5,$C$10*$I$28*$K$10/$J$10,IF(G1435=6,$C$11*$K$11*$I$28/$J$11,0))))))</f>
        <v>4.8833333333333326E-2</v>
      </c>
      <c r="K1435" s="587"/>
      <c r="L1435" s="587"/>
      <c r="M1435" s="587">
        <f t="shared" si="117"/>
        <v>1</v>
      </c>
      <c r="N1435" s="587">
        <f t="shared" si="117"/>
        <v>0</v>
      </c>
      <c r="O1435" s="587">
        <f t="shared" si="117"/>
        <v>0</v>
      </c>
      <c r="P1435" s="587">
        <f t="shared" si="117"/>
        <v>0</v>
      </c>
    </row>
    <row r="1436" spans="2:16">
      <c r="B1436" s="587" t="s">
        <v>868</v>
      </c>
      <c r="C1436" s="587" t="s">
        <v>869</v>
      </c>
      <c r="D1436" s="587" t="s">
        <v>872</v>
      </c>
      <c r="E1436" s="587"/>
      <c r="F1436" s="587" t="str">
        <f t="shared" si="114"/>
        <v>Vélo personnel (y compris vélo à assistance électrique)</v>
      </c>
      <c r="G1436" s="587">
        <f t="shared" si="115"/>
        <v>7</v>
      </c>
      <c r="H1436" s="587"/>
      <c r="I1436" s="587">
        <v>10</v>
      </c>
      <c r="J1436" s="587">
        <f t="shared" si="118"/>
        <v>0</v>
      </c>
      <c r="K1436" s="587"/>
      <c r="L1436" s="587"/>
      <c r="M1436" s="587">
        <f t="shared" si="117"/>
        <v>7</v>
      </c>
      <c r="N1436" s="587">
        <f t="shared" si="117"/>
        <v>0</v>
      </c>
      <c r="O1436" s="587">
        <f t="shared" si="117"/>
        <v>0</v>
      </c>
      <c r="P1436" s="587">
        <f t="shared" si="117"/>
        <v>0</v>
      </c>
    </row>
    <row r="1437" spans="2:16">
      <c r="B1437" s="587" t="s">
        <v>868</v>
      </c>
      <c r="C1437" s="587" t="s">
        <v>869</v>
      </c>
      <c r="D1437" s="587" t="s">
        <v>871</v>
      </c>
      <c r="E1437" s="587"/>
      <c r="F1437" s="587" t="str">
        <f t="shared" si="114"/>
        <v>Marche à pied (exclusivement sur tout le trajet)</v>
      </c>
      <c r="G1437" s="587">
        <f t="shared" si="115"/>
        <v>7</v>
      </c>
      <c r="H1437" s="587"/>
      <c r="I1437" s="587">
        <v>3</v>
      </c>
      <c r="J1437" s="587">
        <f t="shared" si="118"/>
        <v>0</v>
      </c>
      <c r="K1437" s="587"/>
      <c r="L1437" s="587"/>
      <c r="M1437" s="587">
        <f t="shared" si="117"/>
        <v>7</v>
      </c>
      <c r="N1437" s="587">
        <f t="shared" si="117"/>
        <v>0</v>
      </c>
      <c r="O1437" s="587">
        <f t="shared" si="117"/>
        <v>0</v>
      </c>
      <c r="P1437" s="587">
        <f t="shared" si="117"/>
        <v>0</v>
      </c>
    </row>
    <row r="1438" spans="2:16">
      <c r="B1438" s="587" t="s">
        <v>868</v>
      </c>
      <c r="C1438" s="587" t="s">
        <v>869</v>
      </c>
      <c r="D1438" s="587" t="s">
        <v>871</v>
      </c>
      <c r="E1438" s="587"/>
      <c r="F1438" s="587" t="str">
        <f t="shared" si="114"/>
        <v>Marche à pied (exclusivement sur tout le trajet)</v>
      </c>
      <c r="G1438" s="587">
        <f t="shared" si="115"/>
        <v>7</v>
      </c>
      <c r="H1438" s="587"/>
      <c r="I1438" s="587">
        <v>10</v>
      </c>
      <c r="J1438" s="587">
        <f t="shared" si="118"/>
        <v>0</v>
      </c>
      <c r="K1438" s="587"/>
      <c r="L1438" s="587"/>
      <c r="M1438" s="587">
        <f t="shared" si="117"/>
        <v>7</v>
      </c>
      <c r="N1438" s="587">
        <f t="shared" si="117"/>
        <v>0</v>
      </c>
      <c r="O1438" s="587">
        <f t="shared" si="117"/>
        <v>0</v>
      </c>
      <c r="P1438" s="587">
        <f t="shared" si="117"/>
        <v>0</v>
      </c>
    </row>
    <row r="1439" spans="2:16">
      <c r="B1439" s="587" t="s">
        <v>868</v>
      </c>
      <c r="C1439" s="587" t="s">
        <v>869</v>
      </c>
      <c r="D1439" s="587" t="s">
        <v>871</v>
      </c>
      <c r="E1439" s="587"/>
      <c r="F1439" s="587" t="str">
        <f t="shared" si="114"/>
        <v>Marche à pied (exclusivement sur tout le trajet)</v>
      </c>
      <c r="G1439" s="587">
        <f t="shared" si="115"/>
        <v>7</v>
      </c>
      <c r="H1439" s="587"/>
      <c r="I1439" s="587">
        <v>1</v>
      </c>
      <c r="J1439" s="587">
        <f t="shared" si="118"/>
        <v>0</v>
      </c>
      <c r="K1439" s="587"/>
      <c r="L1439" s="587"/>
      <c r="M1439" s="587">
        <f t="shared" si="117"/>
        <v>7</v>
      </c>
      <c r="N1439" s="587">
        <f t="shared" si="117"/>
        <v>0</v>
      </c>
      <c r="O1439" s="587">
        <f t="shared" si="117"/>
        <v>0</v>
      </c>
      <c r="P1439" s="587">
        <f t="shared" si="117"/>
        <v>0</v>
      </c>
    </row>
    <row r="1440" spans="2:16">
      <c r="B1440" s="587" t="s">
        <v>868</v>
      </c>
      <c r="C1440" s="587" t="s">
        <v>869</v>
      </c>
      <c r="D1440" s="587" t="s">
        <v>871</v>
      </c>
      <c r="E1440" s="587"/>
      <c r="F1440" s="587" t="str">
        <f t="shared" si="114"/>
        <v>Marche à pied (exclusivement sur tout le trajet)</v>
      </c>
      <c r="G1440" s="587">
        <f t="shared" si="115"/>
        <v>7</v>
      </c>
      <c r="H1440" s="587"/>
      <c r="I1440" s="587">
        <v>5</v>
      </c>
      <c r="J1440" s="587">
        <f t="shared" si="118"/>
        <v>0</v>
      </c>
      <c r="K1440" s="587"/>
      <c r="L1440" s="587"/>
      <c r="M1440" s="587">
        <f t="shared" si="117"/>
        <v>7</v>
      </c>
      <c r="N1440" s="587">
        <f t="shared" si="117"/>
        <v>0</v>
      </c>
      <c r="O1440" s="587">
        <f t="shared" si="117"/>
        <v>0</v>
      </c>
      <c r="P1440" s="587">
        <f t="shared" si="117"/>
        <v>0</v>
      </c>
    </row>
    <row r="1441" spans="2:16">
      <c r="B1441" s="587" t="s">
        <v>868</v>
      </c>
      <c r="C1441" s="587" t="s">
        <v>869</v>
      </c>
      <c r="D1441" s="587" t="s">
        <v>871</v>
      </c>
      <c r="E1441" s="587"/>
      <c r="F1441" s="587" t="str">
        <f t="shared" si="114"/>
        <v>Marche à pied (exclusivement sur tout le trajet)</v>
      </c>
      <c r="G1441" s="587">
        <f t="shared" si="115"/>
        <v>7</v>
      </c>
      <c r="H1441" s="587"/>
      <c r="I1441" s="587">
        <v>2</v>
      </c>
      <c r="J1441" s="587">
        <f t="shared" si="118"/>
        <v>0</v>
      </c>
      <c r="K1441" s="587"/>
      <c r="L1441" s="587"/>
      <c r="M1441" s="587">
        <f t="shared" si="117"/>
        <v>7</v>
      </c>
      <c r="N1441" s="587">
        <f t="shared" si="117"/>
        <v>0</v>
      </c>
      <c r="O1441" s="587">
        <f t="shared" si="117"/>
        <v>0</v>
      </c>
      <c r="P1441" s="587">
        <f t="shared" si="117"/>
        <v>0</v>
      </c>
    </row>
    <row r="1442" spans="2:16">
      <c r="B1442" s="587" t="s">
        <v>868</v>
      </c>
      <c r="C1442" s="587" t="s">
        <v>869</v>
      </c>
      <c r="D1442" s="587"/>
      <c r="E1442" s="587" t="s">
        <v>877</v>
      </c>
      <c r="F1442" s="587" t="str">
        <f t="shared" si="114"/>
        <v>Vélo’v</v>
      </c>
      <c r="G1442" s="587">
        <f t="shared" si="115"/>
        <v>7</v>
      </c>
      <c r="H1442" s="587"/>
      <c r="I1442" s="587">
        <v>20</v>
      </c>
      <c r="J1442" s="587">
        <f t="shared" si="118"/>
        <v>0</v>
      </c>
      <c r="K1442" s="587"/>
      <c r="L1442" s="587"/>
      <c r="M1442" s="587">
        <f t="shared" si="117"/>
        <v>7</v>
      </c>
      <c r="N1442" s="587">
        <f t="shared" si="117"/>
        <v>0</v>
      </c>
      <c r="O1442" s="587">
        <f t="shared" si="117"/>
        <v>0</v>
      </c>
      <c r="P1442" s="587">
        <f t="shared" si="117"/>
        <v>0</v>
      </c>
    </row>
    <row r="1443" spans="2:16">
      <c r="B1443" s="587" t="s">
        <v>868</v>
      </c>
      <c r="C1443" s="587" t="s">
        <v>869</v>
      </c>
      <c r="D1443" s="587" t="s">
        <v>871</v>
      </c>
      <c r="E1443" s="587"/>
      <c r="F1443" s="587" t="str">
        <f t="shared" si="114"/>
        <v>Marche à pied (exclusivement sur tout le trajet)</v>
      </c>
      <c r="G1443" s="587">
        <f t="shared" si="115"/>
        <v>7</v>
      </c>
      <c r="H1443" s="587"/>
      <c r="I1443" s="587">
        <v>10</v>
      </c>
      <c r="J1443" s="587">
        <f t="shared" si="118"/>
        <v>0</v>
      </c>
      <c r="K1443" s="587"/>
      <c r="L1443" s="587"/>
      <c r="M1443" s="587">
        <f t="shared" si="117"/>
        <v>7</v>
      </c>
      <c r="N1443" s="587">
        <f t="shared" si="117"/>
        <v>0</v>
      </c>
      <c r="O1443" s="587">
        <f t="shared" si="117"/>
        <v>0</v>
      </c>
      <c r="P1443" s="587">
        <f t="shared" si="117"/>
        <v>0</v>
      </c>
    </row>
    <row r="1444" spans="2:16">
      <c r="B1444" s="587" t="s">
        <v>868</v>
      </c>
      <c r="C1444" s="587" t="s">
        <v>869</v>
      </c>
      <c r="D1444" s="587"/>
      <c r="E1444" s="587" t="s">
        <v>870</v>
      </c>
      <c r="F1444" s="587" t="str">
        <f t="shared" si="114"/>
        <v>Métro</v>
      </c>
      <c r="G1444" s="587">
        <f t="shared" si="115"/>
        <v>1</v>
      </c>
      <c r="H1444" s="587"/>
      <c r="I1444" s="587">
        <v>20</v>
      </c>
      <c r="J1444" s="587">
        <f t="shared" si="118"/>
        <v>4.8833333333333326E-2</v>
      </c>
      <c r="K1444" s="587"/>
      <c r="L1444" s="587"/>
      <c r="M1444" s="587">
        <f t="shared" si="117"/>
        <v>1</v>
      </c>
      <c r="N1444" s="587">
        <f t="shared" si="117"/>
        <v>0</v>
      </c>
      <c r="O1444" s="587">
        <f t="shared" si="117"/>
        <v>0</v>
      </c>
      <c r="P1444" s="587">
        <f t="shared" si="117"/>
        <v>0</v>
      </c>
    </row>
    <row r="1445" spans="2:16">
      <c r="B1445" s="587" t="s">
        <v>868</v>
      </c>
      <c r="C1445" s="587" t="s">
        <v>869</v>
      </c>
      <c r="D1445" s="587" t="s">
        <v>871</v>
      </c>
      <c r="E1445" s="587"/>
      <c r="F1445" s="587" t="str">
        <f t="shared" si="114"/>
        <v>Marche à pied (exclusivement sur tout le trajet)</v>
      </c>
      <c r="G1445" s="587">
        <f t="shared" si="115"/>
        <v>7</v>
      </c>
      <c r="H1445" s="587"/>
      <c r="I1445" s="587">
        <v>5</v>
      </c>
      <c r="J1445" s="587">
        <f t="shared" si="118"/>
        <v>0</v>
      </c>
      <c r="K1445" s="587"/>
      <c r="L1445" s="587"/>
      <c r="M1445" s="587">
        <f t="shared" si="117"/>
        <v>7</v>
      </c>
      <c r="N1445" s="587">
        <f t="shared" si="117"/>
        <v>0</v>
      </c>
      <c r="O1445" s="587">
        <f t="shared" si="117"/>
        <v>0</v>
      </c>
      <c r="P1445" s="587">
        <f t="shared" si="117"/>
        <v>0</v>
      </c>
    </row>
    <row r="1446" spans="2:16">
      <c r="B1446" s="587" t="s">
        <v>868</v>
      </c>
      <c r="C1446" s="587" t="s">
        <v>869</v>
      </c>
      <c r="D1446" s="587"/>
      <c r="E1446" s="587" t="s">
        <v>848</v>
      </c>
      <c r="F1446" s="587" t="str">
        <f t="shared" si="114"/>
        <v>Bus</v>
      </c>
      <c r="G1446" s="587">
        <f t="shared" si="115"/>
        <v>2</v>
      </c>
      <c r="H1446" s="587"/>
      <c r="I1446" s="587">
        <v>30</v>
      </c>
      <c r="J1446" s="587">
        <f t="shared" si="118"/>
        <v>1.29</v>
      </c>
      <c r="K1446" s="587"/>
      <c r="L1446" s="587"/>
      <c r="M1446" s="587">
        <f t="shared" si="117"/>
        <v>2</v>
      </c>
      <c r="N1446" s="587">
        <f t="shared" si="117"/>
        <v>0</v>
      </c>
      <c r="O1446" s="587">
        <f t="shared" si="117"/>
        <v>0</v>
      </c>
      <c r="P1446" s="587">
        <f t="shared" si="117"/>
        <v>0</v>
      </c>
    </row>
    <row r="1447" spans="2:16">
      <c r="B1447" s="587" t="s">
        <v>868</v>
      </c>
      <c r="C1447" s="587" t="s">
        <v>869</v>
      </c>
      <c r="D1447" s="587" t="s">
        <v>885</v>
      </c>
      <c r="E1447" s="587"/>
      <c r="F1447" s="587" t="str">
        <f t="shared" si="114"/>
        <v>Covoiturage (conducteur(trice))</v>
      </c>
      <c r="G1447" s="587">
        <f t="shared" si="115"/>
        <v>4</v>
      </c>
      <c r="H1447" s="587"/>
      <c r="I1447" s="587">
        <v>150</v>
      </c>
      <c r="J1447" s="587">
        <f t="shared" si="118"/>
        <v>0.69000000000000006</v>
      </c>
      <c r="K1447" s="587"/>
      <c r="L1447" s="587"/>
      <c r="M1447" s="587">
        <f t="shared" si="117"/>
        <v>4</v>
      </c>
      <c r="N1447" s="587">
        <f t="shared" si="117"/>
        <v>0</v>
      </c>
      <c r="O1447" s="587">
        <f t="shared" si="117"/>
        <v>0</v>
      </c>
      <c r="P1447" s="587">
        <f t="shared" si="117"/>
        <v>0</v>
      </c>
    </row>
    <row r="1448" spans="2:16">
      <c r="B1448" s="587" t="s">
        <v>868</v>
      </c>
      <c r="C1448" s="587" t="s">
        <v>869</v>
      </c>
      <c r="D1448" s="587" t="s">
        <v>872</v>
      </c>
      <c r="E1448" s="587"/>
      <c r="F1448" s="587" t="str">
        <f t="shared" si="114"/>
        <v>Vélo personnel (y compris vélo à assistance électrique)</v>
      </c>
      <c r="G1448" s="587">
        <f t="shared" si="115"/>
        <v>7</v>
      </c>
      <c r="H1448" s="587"/>
      <c r="I1448" s="587">
        <v>2</v>
      </c>
      <c r="J1448" s="587">
        <f t="shared" si="118"/>
        <v>0</v>
      </c>
      <c r="K1448" s="587"/>
      <c r="L1448" s="587"/>
      <c r="M1448" s="587">
        <f t="shared" si="117"/>
        <v>7</v>
      </c>
      <c r="N1448" s="587">
        <f t="shared" si="117"/>
        <v>0</v>
      </c>
      <c r="O1448" s="587">
        <f t="shared" si="117"/>
        <v>0</v>
      </c>
      <c r="P1448" s="587">
        <f t="shared" si="117"/>
        <v>0</v>
      </c>
    </row>
    <row r="1449" spans="2:16">
      <c r="B1449" s="587" t="s">
        <v>868</v>
      </c>
      <c r="C1449" s="587" t="s">
        <v>869</v>
      </c>
      <c r="D1449" s="587" t="s">
        <v>872</v>
      </c>
      <c r="E1449" s="587"/>
      <c r="F1449" s="587" t="str">
        <f t="shared" si="114"/>
        <v>Vélo personnel (y compris vélo à assistance électrique)</v>
      </c>
      <c r="G1449" s="587">
        <f t="shared" si="115"/>
        <v>7</v>
      </c>
      <c r="H1449" s="587"/>
      <c r="I1449" s="587">
        <v>5</v>
      </c>
      <c r="J1449" s="587">
        <f t="shared" si="118"/>
        <v>0</v>
      </c>
      <c r="K1449" s="587"/>
      <c r="L1449" s="587"/>
      <c r="M1449" s="587">
        <f t="shared" si="117"/>
        <v>7</v>
      </c>
      <c r="N1449" s="587">
        <f t="shared" si="117"/>
        <v>0</v>
      </c>
      <c r="O1449" s="587">
        <f t="shared" si="117"/>
        <v>0</v>
      </c>
      <c r="P1449" s="587">
        <f t="shared" si="117"/>
        <v>0</v>
      </c>
    </row>
    <row r="1450" spans="2:16">
      <c r="B1450" s="587" t="s">
        <v>868</v>
      </c>
      <c r="C1450" s="587" t="s">
        <v>869</v>
      </c>
      <c r="D1450" s="587" t="s">
        <v>872</v>
      </c>
      <c r="E1450" s="587"/>
      <c r="F1450" s="587" t="str">
        <f t="shared" si="114"/>
        <v>Vélo personnel (y compris vélo à assistance électrique)</v>
      </c>
      <c r="G1450" s="587">
        <f t="shared" si="115"/>
        <v>7</v>
      </c>
      <c r="H1450" s="587"/>
      <c r="I1450" s="587">
        <v>5</v>
      </c>
      <c r="J1450" s="587">
        <f t="shared" si="118"/>
        <v>0</v>
      </c>
      <c r="K1450" s="587"/>
      <c r="L1450" s="587"/>
      <c r="M1450" s="587">
        <f t="shared" si="117"/>
        <v>7</v>
      </c>
      <c r="N1450" s="587">
        <f t="shared" si="117"/>
        <v>0</v>
      </c>
      <c r="O1450" s="587">
        <f t="shared" si="117"/>
        <v>0</v>
      </c>
      <c r="P1450" s="587">
        <f t="shared" si="117"/>
        <v>0</v>
      </c>
    </row>
    <row r="1451" spans="2:16">
      <c r="B1451" s="587" t="s">
        <v>868</v>
      </c>
      <c r="C1451" s="587" t="s">
        <v>869</v>
      </c>
      <c r="D1451" s="587" t="s">
        <v>871</v>
      </c>
      <c r="E1451" s="587"/>
      <c r="F1451" s="587" t="str">
        <f t="shared" si="114"/>
        <v>Marche à pied (exclusivement sur tout le trajet)</v>
      </c>
      <c r="G1451" s="587">
        <f t="shared" si="115"/>
        <v>7</v>
      </c>
      <c r="H1451" s="587"/>
      <c r="I1451" s="587">
        <v>10</v>
      </c>
      <c r="J1451" s="587">
        <f t="shared" si="118"/>
        <v>0</v>
      </c>
      <c r="K1451" s="587"/>
      <c r="L1451" s="587"/>
      <c r="M1451" s="587">
        <f t="shared" si="117"/>
        <v>7</v>
      </c>
      <c r="N1451" s="587">
        <f t="shared" si="117"/>
        <v>0</v>
      </c>
      <c r="O1451" s="587">
        <f t="shared" si="117"/>
        <v>0</v>
      </c>
      <c r="P1451" s="587">
        <f t="shared" si="117"/>
        <v>0</v>
      </c>
    </row>
    <row r="1452" spans="2:16">
      <c r="B1452" s="587" t="s">
        <v>868</v>
      </c>
      <c r="C1452" s="587" t="s">
        <v>869</v>
      </c>
      <c r="D1452" s="587" t="s">
        <v>872</v>
      </c>
      <c r="E1452" s="587"/>
      <c r="F1452" s="587" t="str">
        <f t="shared" si="114"/>
        <v>Vélo personnel (y compris vélo à assistance électrique)</v>
      </c>
      <c r="G1452" s="587">
        <f t="shared" si="115"/>
        <v>7</v>
      </c>
      <c r="H1452" s="587"/>
      <c r="I1452" s="587">
        <v>15</v>
      </c>
      <c r="J1452" s="587">
        <f t="shared" si="118"/>
        <v>0</v>
      </c>
      <c r="K1452" s="587"/>
      <c r="L1452" s="587"/>
      <c r="M1452" s="587">
        <f t="shared" si="117"/>
        <v>7</v>
      </c>
      <c r="N1452" s="587">
        <f t="shared" si="117"/>
        <v>0</v>
      </c>
      <c r="O1452" s="587">
        <f t="shared" si="117"/>
        <v>0</v>
      </c>
      <c r="P1452" s="587">
        <f t="shared" si="117"/>
        <v>0</v>
      </c>
    </row>
    <row r="1453" spans="2:16">
      <c r="B1453" s="587" t="s">
        <v>868</v>
      </c>
      <c r="C1453" s="587" t="s">
        <v>869</v>
      </c>
      <c r="D1453" s="587" t="s">
        <v>871</v>
      </c>
      <c r="E1453" s="587"/>
      <c r="F1453" s="587" t="str">
        <f t="shared" si="114"/>
        <v>Marche à pied (exclusivement sur tout le trajet)</v>
      </c>
      <c r="G1453" s="587">
        <f t="shared" si="115"/>
        <v>7</v>
      </c>
      <c r="H1453" s="587"/>
      <c r="I1453" s="587">
        <v>10</v>
      </c>
      <c r="J1453" s="587">
        <f t="shared" si="118"/>
        <v>0</v>
      </c>
      <c r="K1453" s="587"/>
      <c r="L1453" s="587"/>
      <c r="M1453" s="587">
        <f t="shared" si="117"/>
        <v>7</v>
      </c>
      <c r="N1453" s="587">
        <f t="shared" si="117"/>
        <v>0</v>
      </c>
      <c r="O1453" s="587">
        <f t="shared" si="117"/>
        <v>0</v>
      </c>
      <c r="P1453" s="587">
        <f t="shared" si="117"/>
        <v>0</v>
      </c>
    </row>
    <row r="1454" spans="2:16">
      <c r="B1454" s="587" t="s">
        <v>868</v>
      </c>
      <c r="C1454" s="587" t="s">
        <v>869</v>
      </c>
      <c r="D1454" s="587"/>
      <c r="E1454" s="587" t="s">
        <v>870</v>
      </c>
      <c r="F1454" s="587" t="str">
        <f t="shared" si="114"/>
        <v>Métro</v>
      </c>
      <c r="G1454" s="587">
        <f t="shared" si="115"/>
        <v>1</v>
      </c>
      <c r="H1454" s="587"/>
      <c r="I1454" s="587">
        <v>30</v>
      </c>
      <c r="J1454" s="587">
        <f t="shared" si="118"/>
        <v>4.8833333333333326E-2</v>
      </c>
      <c r="K1454" s="587"/>
      <c r="L1454" s="587"/>
      <c r="M1454" s="587">
        <f t="shared" si="117"/>
        <v>1</v>
      </c>
      <c r="N1454" s="587">
        <f t="shared" si="117"/>
        <v>0</v>
      </c>
      <c r="O1454" s="587">
        <f t="shared" si="117"/>
        <v>0</v>
      </c>
      <c r="P1454" s="587">
        <f t="shared" si="117"/>
        <v>0</v>
      </c>
    </row>
    <row r="1455" spans="2:16">
      <c r="B1455" s="587" t="s">
        <v>868</v>
      </c>
      <c r="C1455" s="587" t="s">
        <v>869</v>
      </c>
      <c r="D1455" s="587" t="s">
        <v>871</v>
      </c>
      <c r="E1455" s="587"/>
      <c r="F1455" s="587" t="str">
        <f t="shared" si="114"/>
        <v>Marche à pied (exclusivement sur tout le trajet)</v>
      </c>
      <c r="G1455" s="587">
        <f t="shared" si="115"/>
        <v>7</v>
      </c>
      <c r="H1455" s="587"/>
      <c r="I1455" s="587">
        <v>10</v>
      </c>
      <c r="J1455" s="587">
        <f t="shared" si="118"/>
        <v>0</v>
      </c>
      <c r="K1455" s="587"/>
      <c r="L1455" s="587"/>
      <c r="M1455" s="587">
        <f t="shared" si="117"/>
        <v>7</v>
      </c>
      <c r="N1455" s="587">
        <f t="shared" si="117"/>
        <v>0</v>
      </c>
      <c r="O1455" s="587">
        <f t="shared" si="117"/>
        <v>0</v>
      </c>
      <c r="P1455" s="587">
        <f t="shared" si="117"/>
        <v>0</v>
      </c>
    </row>
    <row r="1456" spans="2:16">
      <c r="B1456" s="587" t="s">
        <v>868</v>
      </c>
      <c r="C1456" s="587" t="s">
        <v>869</v>
      </c>
      <c r="D1456" s="587" t="s">
        <v>872</v>
      </c>
      <c r="E1456" s="587"/>
      <c r="F1456" s="587" t="str">
        <f t="shared" si="114"/>
        <v>Vélo personnel (y compris vélo à assistance électrique)</v>
      </c>
      <c r="G1456" s="587">
        <f t="shared" si="115"/>
        <v>7</v>
      </c>
      <c r="H1456" s="587"/>
      <c r="I1456" s="587">
        <v>5</v>
      </c>
      <c r="J1456" s="587">
        <f t="shared" si="118"/>
        <v>0</v>
      </c>
      <c r="K1456" s="587"/>
      <c r="L1456" s="587"/>
      <c r="M1456" s="587">
        <f t="shared" si="117"/>
        <v>7</v>
      </c>
      <c r="N1456" s="587">
        <f t="shared" si="117"/>
        <v>0</v>
      </c>
      <c r="O1456" s="587">
        <f t="shared" si="117"/>
        <v>0</v>
      </c>
      <c r="P1456" s="587">
        <f t="shared" si="117"/>
        <v>0</v>
      </c>
    </row>
    <row r="1457" spans="2:16">
      <c r="B1457" s="587" t="s">
        <v>868</v>
      </c>
      <c r="C1457" s="587" t="s">
        <v>869</v>
      </c>
      <c r="D1457" s="587" t="s">
        <v>872</v>
      </c>
      <c r="E1457" s="587"/>
      <c r="F1457" s="587" t="str">
        <f t="shared" si="114"/>
        <v>Vélo personnel (y compris vélo à assistance électrique)</v>
      </c>
      <c r="G1457" s="587">
        <f t="shared" si="115"/>
        <v>7</v>
      </c>
      <c r="H1457" s="587"/>
      <c r="I1457" s="587">
        <v>11</v>
      </c>
      <c r="J1457" s="587">
        <f t="shared" si="118"/>
        <v>0</v>
      </c>
      <c r="K1457" s="587"/>
      <c r="L1457" s="587"/>
      <c r="M1457" s="587">
        <f t="shared" si="117"/>
        <v>7</v>
      </c>
      <c r="N1457" s="587">
        <f t="shared" si="117"/>
        <v>0</v>
      </c>
      <c r="O1457" s="587">
        <f t="shared" si="117"/>
        <v>0</v>
      </c>
      <c r="P1457" s="587">
        <f t="shared" si="117"/>
        <v>0</v>
      </c>
    </row>
    <row r="1458" spans="2:16">
      <c r="B1458" s="587" t="s">
        <v>868</v>
      </c>
      <c r="C1458" s="587" t="s">
        <v>869</v>
      </c>
      <c r="D1458" s="587" t="s">
        <v>871</v>
      </c>
      <c r="E1458" s="587"/>
      <c r="F1458" s="587" t="str">
        <f t="shared" si="114"/>
        <v>Marche à pied (exclusivement sur tout le trajet)</v>
      </c>
      <c r="G1458" s="587">
        <f t="shared" si="115"/>
        <v>7</v>
      </c>
      <c r="H1458" s="587"/>
      <c r="I1458" s="587">
        <v>2</v>
      </c>
      <c r="J1458" s="587">
        <f t="shared" si="118"/>
        <v>0</v>
      </c>
      <c r="K1458" s="587"/>
      <c r="L1458" s="587"/>
      <c r="M1458" s="587">
        <f t="shared" si="117"/>
        <v>7</v>
      </c>
      <c r="N1458" s="587">
        <f t="shared" si="117"/>
        <v>0</v>
      </c>
      <c r="O1458" s="587">
        <f t="shared" si="117"/>
        <v>0</v>
      </c>
      <c r="P1458" s="587">
        <f t="shared" si="117"/>
        <v>0</v>
      </c>
    </row>
    <row r="1459" spans="2:16">
      <c r="B1459" s="587" t="s">
        <v>868</v>
      </c>
      <c r="C1459" s="587" t="s">
        <v>869</v>
      </c>
      <c r="D1459" s="587"/>
      <c r="E1459" s="587" t="s">
        <v>873</v>
      </c>
      <c r="F1459" s="587" t="str">
        <f t="shared" si="114"/>
        <v>Tramway</v>
      </c>
      <c r="G1459" s="587">
        <f t="shared" si="115"/>
        <v>1</v>
      </c>
      <c r="H1459" s="587"/>
      <c r="I1459" s="587">
        <v>75</v>
      </c>
      <c r="J1459" s="587">
        <f t="shared" si="118"/>
        <v>4.8833333333333326E-2</v>
      </c>
      <c r="K1459" s="587"/>
      <c r="L1459" s="587"/>
      <c r="M1459" s="587">
        <f t="shared" si="117"/>
        <v>1</v>
      </c>
      <c r="N1459" s="587">
        <f t="shared" si="117"/>
        <v>0</v>
      </c>
      <c r="O1459" s="587">
        <f t="shared" si="117"/>
        <v>0</v>
      </c>
      <c r="P1459" s="587">
        <f t="shared" si="117"/>
        <v>0</v>
      </c>
    </row>
    <row r="1460" spans="2:16">
      <c r="B1460" s="587" t="s">
        <v>868</v>
      </c>
      <c r="C1460" s="587" t="s">
        <v>869</v>
      </c>
      <c r="D1460" s="587" t="s">
        <v>871</v>
      </c>
      <c r="E1460" s="587"/>
      <c r="F1460" s="587" t="str">
        <f t="shared" si="114"/>
        <v>Marche à pied (exclusivement sur tout le trajet)</v>
      </c>
      <c r="G1460" s="587">
        <f t="shared" si="115"/>
        <v>7</v>
      </c>
      <c r="H1460" s="587"/>
      <c r="I1460" s="587">
        <v>7</v>
      </c>
      <c r="J1460" s="587">
        <f t="shared" si="118"/>
        <v>0</v>
      </c>
      <c r="K1460" s="587"/>
      <c r="L1460" s="587"/>
      <c r="M1460" s="587">
        <f t="shared" si="117"/>
        <v>7</v>
      </c>
      <c r="N1460" s="587">
        <f t="shared" si="117"/>
        <v>0</v>
      </c>
      <c r="O1460" s="587">
        <f t="shared" si="117"/>
        <v>0</v>
      </c>
      <c r="P1460" s="587">
        <f t="shared" si="117"/>
        <v>0</v>
      </c>
    </row>
    <row r="1461" spans="2:16">
      <c r="B1461" s="587" t="s">
        <v>868</v>
      </c>
      <c r="C1461" s="587" t="s">
        <v>869</v>
      </c>
      <c r="D1461" s="587" t="s">
        <v>871</v>
      </c>
      <c r="E1461" s="587"/>
      <c r="F1461" s="587" t="str">
        <f t="shared" si="114"/>
        <v>Marche à pied (exclusivement sur tout le trajet)</v>
      </c>
      <c r="G1461" s="587">
        <f t="shared" si="115"/>
        <v>7</v>
      </c>
      <c r="H1461" s="587"/>
      <c r="I1461" s="587">
        <v>7</v>
      </c>
      <c r="J1461" s="587">
        <f t="shared" si="118"/>
        <v>0</v>
      </c>
      <c r="K1461" s="587"/>
      <c r="L1461" s="587"/>
      <c r="M1461" s="587">
        <f t="shared" si="117"/>
        <v>7</v>
      </c>
      <c r="N1461" s="587">
        <f t="shared" si="117"/>
        <v>0</v>
      </c>
      <c r="O1461" s="587">
        <f t="shared" si="117"/>
        <v>0</v>
      </c>
      <c r="P1461" s="587">
        <f t="shared" si="117"/>
        <v>0</v>
      </c>
    </row>
    <row r="1462" spans="2:16">
      <c r="B1462" s="587" t="s">
        <v>868</v>
      </c>
      <c r="C1462" s="587" t="s">
        <v>869</v>
      </c>
      <c r="D1462" s="587" t="s">
        <v>871</v>
      </c>
      <c r="E1462" s="587"/>
      <c r="F1462" s="587" t="str">
        <f t="shared" si="114"/>
        <v>Marche à pied (exclusivement sur tout le trajet)</v>
      </c>
      <c r="G1462" s="587">
        <f t="shared" si="115"/>
        <v>7</v>
      </c>
      <c r="H1462" s="587"/>
      <c r="I1462" s="587">
        <v>2</v>
      </c>
      <c r="J1462" s="587">
        <f t="shared" si="118"/>
        <v>0</v>
      </c>
      <c r="K1462" s="587"/>
      <c r="L1462" s="587"/>
      <c r="M1462" s="587">
        <f t="shared" si="117"/>
        <v>7</v>
      </c>
      <c r="N1462" s="587">
        <f t="shared" si="117"/>
        <v>0</v>
      </c>
      <c r="O1462" s="587">
        <f t="shared" si="117"/>
        <v>0</v>
      </c>
      <c r="P1462" s="587">
        <f t="shared" si="117"/>
        <v>0</v>
      </c>
    </row>
    <row r="1463" spans="2:16">
      <c r="B1463" s="587" t="s">
        <v>868</v>
      </c>
      <c r="C1463" s="587" t="s">
        <v>869</v>
      </c>
      <c r="D1463" s="587" t="s">
        <v>871</v>
      </c>
      <c r="E1463" s="587"/>
      <c r="F1463" s="587" t="str">
        <f t="shared" si="114"/>
        <v>Marche à pied (exclusivement sur tout le trajet)</v>
      </c>
      <c r="G1463" s="587">
        <f t="shared" si="115"/>
        <v>7</v>
      </c>
      <c r="H1463" s="587"/>
      <c r="I1463" s="587">
        <v>10</v>
      </c>
      <c r="J1463" s="587">
        <f t="shared" si="118"/>
        <v>0</v>
      </c>
      <c r="K1463" s="587"/>
      <c r="L1463" s="587"/>
      <c r="M1463" s="587">
        <f t="shared" si="117"/>
        <v>7</v>
      </c>
      <c r="N1463" s="587">
        <f t="shared" si="117"/>
        <v>0</v>
      </c>
      <c r="O1463" s="587">
        <f t="shared" si="117"/>
        <v>0</v>
      </c>
      <c r="P1463" s="587">
        <f t="shared" si="117"/>
        <v>0</v>
      </c>
    </row>
    <row r="1464" spans="2:16">
      <c r="B1464" s="587" t="s">
        <v>868</v>
      </c>
      <c r="C1464" s="587" t="s">
        <v>869</v>
      </c>
      <c r="D1464" s="587" t="s">
        <v>871</v>
      </c>
      <c r="E1464" s="587"/>
      <c r="F1464" s="587" t="str">
        <f t="shared" si="114"/>
        <v>Marche à pied (exclusivement sur tout le trajet)</v>
      </c>
      <c r="G1464" s="587">
        <f t="shared" si="115"/>
        <v>7</v>
      </c>
      <c r="H1464" s="587"/>
      <c r="I1464" s="587">
        <v>7</v>
      </c>
      <c r="J1464" s="587">
        <f t="shared" si="118"/>
        <v>0</v>
      </c>
      <c r="K1464" s="587"/>
      <c r="L1464" s="587"/>
      <c r="M1464" s="587">
        <f t="shared" si="117"/>
        <v>7</v>
      </c>
      <c r="N1464" s="587">
        <f t="shared" si="117"/>
        <v>0</v>
      </c>
      <c r="O1464" s="587">
        <f t="shared" si="117"/>
        <v>0</v>
      </c>
      <c r="P1464" s="587">
        <f t="shared" si="117"/>
        <v>0</v>
      </c>
    </row>
    <row r="1465" spans="2:16">
      <c r="B1465" s="587" t="s">
        <v>868</v>
      </c>
      <c r="C1465" s="587" t="s">
        <v>869</v>
      </c>
      <c r="D1465" s="587"/>
      <c r="E1465" s="587" t="s">
        <v>870</v>
      </c>
      <c r="F1465" s="587" t="str">
        <f t="shared" si="114"/>
        <v>Métro</v>
      </c>
      <c r="G1465" s="587">
        <f t="shared" si="115"/>
        <v>1</v>
      </c>
      <c r="H1465" s="587"/>
      <c r="I1465" s="587">
        <v>30</v>
      </c>
      <c r="J1465" s="587">
        <f t="shared" si="118"/>
        <v>4.8833333333333326E-2</v>
      </c>
      <c r="K1465" s="587"/>
      <c r="L1465" s="587"/>
      <c r="M1465" s="587">
        <f t="shared" si="117"/>
        <v>1</v>
      </c>
      <c r="N1465" s="587">
        <f t="shared" si="117"/>
        <v>0</v>
      </c>
      <c r="O1465" s="587">
        <f t="shared" si="117"/>
        <v>0</v>
      </c>
      <c r="P1465" s="587">
        <f t="shared" si="117"/>
        <v>0</v>
      </c>
    </row>
    <row r="1466" spans="2:16">
      <c r="B1466" s="587" t="s">
        <v>868</v>
      </c>
      <c r="C1466" s="587" t="s">
        <v>869</v>
      </c>
      <c r="D1466" s="587" t="s">
        <v>871</v>
      </c>
      <c r="E1466" s="587"/>
      <c r="F1466" s="587" t="str">
        <f t="shared" si="114"/>
        <v>Marche à pied (exclusivement sur tout le trajet)</v>
      </c>
      <c r="G1466" s="587">
        <f t="shared" si="115"/>
        <v>7</v>
      </c>
      <c r="H1466" s="587"/>
      <c r="I1466" s="587">
        <v>15</v>
      </c>
      <c r="J1466" s="587">
        <f t="shared" si="118"/>
        <v>0</v>
      </c>
      <c r="K1466" s="587"/>
      <c r="L1466" s="587"/>
      <c r="M1466" s="587">
        <f t="shared" si="117"/>
        <v>7</v>
      </c>
      <c r="N1466" s="587">
        <f t="shared" si="117"/>
        <v>0</v>
      </c>
      <c r="O1466" s="587">
        <f t="shared" si="117"/>
        <v>0</v>
      </c>
      <c r="P1466" s="587">
        <f t="shared" si="117"/>
        <v>0</v>
      </c>
    </row>
    <row r="1467" spans="2:16">
      <c r="B1467" s="587" t="s">
        <v>868</v>
      </c>
      <c r="C1467" s="587" t="s">
        <v>869</v>
      </c>
      <c r="D1467" s="587"/>
      <c r="E1467" s="587" t="s">
        <v>878</v>
      </c>
      <c r="F1467" s="587" t="str">
        <f t="shared" ref="F1467:F1527" si="119">IF(D1467="",E1467,D1467)</f>
        <v>Marche à pied au-delà de 5 minutes</v>
      </c>
      <c r="G1467" s="587">
        <f t="shared" ref="G1467:G1527" si="120">IF(F1467="Métro",1,IF(F1467="Tramway",1,IF(F1467="Vélo'v",7,IF(F1467="Marche à pied (exclusivement sur tout le trajet)",7,IF(F1467="Vélo personnel (y compris vélo à assistance électrique)",7,IF(F1467="Trottinette, roller, skateboard,…",7,IF(F1467="Marche à pied au-delà de 5 minutes",7,IF(F1467="Voiture (seul(e))",3,IF(F1467="Bus",2,IF(F1467="Trottinette, roller, skateboard au-delà de 5 minutes",7,IF(F1467="Covoiturage (passager(ère))",4,IF(F1467="Trottinette, roller, skateboard,...",7,IF(F1467="Vélo’v",7,IF(F1467="Train (TER,TGV,...)",6,IF(F1467="Deux roues motorisées (moto, scooter, mobylette,…)",5,IF(F1467="Covoiturage (conducteur(trice))",4,IF(F1467="Train (TER,..)",6,0)))))))))))))))))</f>
        <v>7</v>
      </c>
      <c r="H1467" s="587"/>
      <c r="I1467" s="587">
        <v>15</v>
      </c>
      <c r="J1467" s="587">
        <f t="shared" ref="J1467:J1498" si="121">IF(G1467=1,$C$6*($I$28*$K$6)/$J$6,IF(G1467=2,$C$7*($I$28*$K$7)/$J$7,IF(G1467=3,$C$8*$I$28*$K$8/$J$8,IF(G1467=4,$C$9*$I$28*$K$9/$J$9,IF(G1467=5,$C$10*$I$28*$K$10/$J$10,IF(G1467=6,$C$11*$K$11*$I$28/$J$11,0))))))</f>
        <v>0</v>
      </c>
      <c r="K1467" s="587"/>
      <c r="L1467" s="587"/>
      <c r="M1467" s="587">
        <f t="shared" si="117"/>
        <v>7</v>
      </c>
      <c r="N1467" s="587">
        <f t="shared" si="117"/>
        <v>0</v>
      </c>
      <c r="O1467" s="587">
        <f t="shared" si="117"/>
        <v>0</v>
      </c>
      <c r="P1467" s="587">
        <f t="shared" si="117"/>
        <v>0</v>
      </c>
    </row>
    <row r="1468" spans="2:16">
      <c r="B1468" s="587" t="s">
        <v>868</v>
      </c>
      <c r="C1468" s="587" t="s">
        <v>869</v>
      </c>
      <c r="D1468" s="587" t="s">
        <v>871</v>
      </c>
      <c r="E1468" s="587"/>
      <c r="F1468" s="587" t="str">
        <f t="shared" si="119"/>
        <v>Marche à pied (exclusivement sur tout le trajet)</v>
      </c>
      <c r="G1468" s="587">
        <f t="shared" si="120"/>
        <v>7</v>
      </c>
      <c r="H1468" s="587"/>
      <c r="I1468" s="587">
        <v>10</v>
      </c>
      <c r="J1468" s="587">
        <f t="shared" si="121"/>
        <v>0</v>
      </c>
      <c r="K1468" s="587"/>
      <c r="L1468" s="587"/>
      <c r="M1468" s="587">
        <f t="shared" si="117"/>
        <v>7</v>
      </c>
      <c r="N1468" s="587">
        <f t="shared" si="117"/>
        <v>0</v>
      </c>
      <c r="O1468" s="587">
        <f t="shared" si="117"/>
        <v>0</v>
      </c>
      <c r="P1468" s="587">
        <f t="shared" si="117"/>
        <v>0</v>
      </c>
    </row>
    <row r="1469" spans="2:16">
      <c r="B1469" s="587" t="s">
        <v>868</v>
      </c>
      <c r="C1469" s="587" t="s">
        <v>869</v>
      </c>
      <c r="D1469" s="587" t="s">
        <v>871</v>
      </c>
      <c r="E1469" s="587"/>
      <c r="F1469" s="587" t="str">
        <f t="shared" si="119"/>
        <v>Marche à pied (exclusivement sur tout le trajet)</v>
      </c>
      <c r="G1469" s="587">
        <f t="shared" si="120"/>
        <v>7</v>
      </c>
      <c r="H1469" s="587"/>
      <c r="I1469" s="587">
        <v>3</v>
      </c>
      <c r="J1469" s="587">
        <f t="shared" si="121"/>
        <v>0</v>
      </c>
      <c r="K1469" s="587"/>
      <c r="L1469" s="587"/>
      <c r="M1469" s="587">
        <f t="shared" si="117"/>
        <v>7</v>
      </c>
      <c r="N1469" s="587">
        <f t="shared" si="117"/>
        <v>0</v>
      </c>
      <c r="O1469" s="587">
        <f t="shared" si="117"/>
        <v>0</v>
      </c>
      <c r="P1469" s="587">
        <f t="shared" si="117"/>
        <v>0</v>
      </c>
    </row>
    <row r="1470" spans="2:16">
      <c r="B1470" s="587" t="s">
        <v>868</v>
      </c>
      <c r="C1470" s="587" t="s">
        <v>869</v>
      </c>
      <c r="D1470" s="587" t="s">
        <v>873</v>
      </c>
      <c r="E1470" s="587"/>
      <c r="F1470" s="587" t="str">
        <f t="shared" si="119"/>
        <v>Tramway</v>
      </c>
      <c r="G1470" s="587">
        <f t="shared" si="120"/>
        <v>1</v>
      </c>
      <c r="H1470" s="587"/>
      <c r="I1470" s="587">
        <v>15</v>
      </c>
      <c r="J1470" s="587">
        <f t="shared" si="121"/>
        <v>4.8833333333333326E-2</v>
      </c>
      <c r="K1470" s="587"/>
      <c r="L1470" s="587"/>
      <c r="M1470" s="587">
        <f t="shared" si="117"/>
        <v>1</v>
      </c>
      <c r="N1470" s="587">
        <f t="shared" si="117"/>
        <v>0</v>
      </c>
      <c r="O1470" s="587">
        <f t="shared" si="117"/>
        <v>0</v>
      </c>
      <c r="P1470" s="587">
        <f t="shared" si="117"/>
        <v>0</v>
      </c>
    </row>
    <row r="1471" spans="2:16">
      <c r="B1471" s="587" t="s">
        <v>868</v>
      </c>
      <c r="C1471" s="587" t="s">
        <v>869</v>
      </c>
      <c r="D1471" s="587" t="s">
        <v>871</v>
      </c>
      <c r="E1471" s="587"/>
      <c r="F1471" s="587" t="str">
        <f t="shared" si="119"/>
        <v>Marche à pied (exclusivement sur tout le trajet)</v>
      </c>
      <c r="G1471" s="587">
        <f t="shared" si="120"/>
        <v>7</v>
      </c>
      <c r="H1471" s="587"/>
      <c r="I1471" s="587">
        <v>10</v>
      </c>
      <c r="J1471" s="587">
        <f t="shared" si="121"/>
        <v>0</v>
      </c>
      <c r="K1471" s="587"/>
      <c r="L1471" s="587"/>
      <c r="M1471" s="587">
        <f t="shared" si="117"/>
        <v>7</v>
      </c>
      <c r="N1471" s="587">
        <f t="shared" si="117"/>
        <v>0</v>
      </c>
      <c r="O1471" s="587">
        <f t="shared" si="117"/>
        <v>0</v>
      </c>
      <c r="P1471" s="587">
        <f t="shared" si="117"/>
        <v>0</v>
      </c>
    </row>
    <row r="1472" spans="2:16">
      <c r="B1472" s="587" t="s">
        <v>868</v>
      </c>
      <c r="C1472" s="587" t="s">
        <v>869</v>
      </c>
      <c r="D1472" s="587" t="s">
        <v>871</v>
      </c>
      <c r="E1472" s="587"/>
      <c r="F1472" s="587" t="str">
        <f t="shared" si="119"/>
        <v>Marche à pied (exclusivement sur tout le trajet)</v>
      </c>
      <c r="G1472" s="587">
        <f t="shared" si="120"/>
        <v>7</v>
      </c>
      <c r="H1472" s="587"/>
      <c r="I1472" s="587">
        <v>1</v>
      </c>
      <c r="J1472" s="587">
        <f t="shared" si="121"/>
        <v>0</v>
      </c>
      <c r="K1472" s="587"/>
      <c r="L1472" s="587"/>
      <c r="M1472" s="587">
        <f t="shared" si="117"/>
        <v>7</v>
      </c>
      <c r="N1472" s="587">
        <f t="shared" si="117"/>
        <v>0</v>
      </c>
      <c r="O1472" s="587">
        <f t="shared" si="117"/>
        <v>0</v>
      </c>
      <c r="P1472" s="587">
        <f t="shared" si="117"/>
        <v>0</v>
      </c>
    </row>
    <row r="1473" spans="2:16">
      <c r="B1473" s="587" t="s">
        <v>868</v>
      </c>
      <c r="C1473" s="587" t="s">
        <v>869</v>
      </c>
      <c r="D1473" s="587" t="s">
        <v>871</v>
      </c>
      <c r="E1473" s="587"/>
      <c r="F1473" s="587" t="str">
        <f t="shared" si="119"/>
        <v>Marche à pied (exclusivement sur tout le trajet)</v>
      </c>
      <c r="G1473" s="587">
        <f t="shared" si="120"/>
        <v>7</v>
      </c>
      <c r="H1473" s="587"/>
      <c r="I1473" s="587">
        <v>10</v>
      </c>
      <c r="J1473" s="587">
        <f t="shared" si="121"/>
        <v>0</v>
      </c>
      <c r="K1473" s="587"/>
      <c r="L1473" s="587"/>
      <c r="M1473" s="587">
        <f t="shared" si="117"/>
        <v>7</v>
      </c>
      <c r="N1473" s="587">
        <f t="shared" si="117"/>
        <v>0</v>
      </c>
      <c r="O1473" s="587">
        <f t="shared" si="117"/>
        <v>0</v>
      </c>
      <c r="P1473" s="587">
        <f t="shared" si="117"/>
        <v>0</v>
      </c>
    </row>
    <row r="1474" spans="2:16">
      <c r="B1474" s="587" t="s">
        <v>868</v>
      </c>
      <c r="C1474" s="587" t="s">
        <v>869</v>
      </c>
      <c r="D1474" s="587" t="s">
        <v>871</v>
      </c>
      <c r="E1474" s="587"/>
      <c r="F1474" s="587" t="str">
        <f t="shared" si="119"/>
        <v>Marche à pied (exclusivement sur tout le trajet)</v>
      </c>
      <c r="G1474" s="587">
        <f t="shared" si="120"/>
        <v>7</v>
      </c>
      <c r="H1474" s="587"/>
      <c r="I1474" s="587">
        <v>15</v>
      </c>
      <c r="J1474" s="587">
        <f t="shared" si="121"/>
        <v>0</v>
      </c>
      <c r="K1474" s="587"/>
      <c r="L1474" s="587"/>
      <c r="M1474" s="587">
        <f t="shared" si="117"/>
        <v>7</v>
      </c>
      <c r="N1474" s="587">
        <f t="shared" si="117"/>
        <v>0</v>
      </c>
      <c r="O1474" s="587">
        <f t="shared" si="117"/>
        <v>0</v>
      </c>
      <c r="P1474" s="587">
        <f t="shared" si="117"/>
        <v>0</v>
      </c>
    </row>
    <row r="1475" spans="2:16">
      <c r="B1475" s="587" t="s">
        <v>868</v>
      </c>
      <c r="C1475" s="587" t="s">
        <v>869</v>
      </c>
      <c r="D1475" s="587"/>
      <c r="E1475" s="587" t="s">
        <v>879</v>
      </c>
      <c r="F1475" s="587" t="str">
        <f t="shared" si="119"/>
        <v>Voiture (seul(e))</v>
      </c>
      <c r="G1475" s="587">
        <f t="shared" si="120"/>
        <v>3</v>
      </c>
      <c r="H1475" s="587"/>
      <c r="I1475" s="587">
        <v>120</v>
      </c>
      <c r="J1475" s="587">
        <f t="shared" si="121"/>
        <v>2.7600000000000002</v>
      </c>
      <c r="K1475" s="587"/>
      <c r="L1475" s="587"/>
      <c r="M1475" s="587">
        <f t="shared" si="117"/>
        <v>3</v>
      </c>
      <c r="N1475" s="587">
        <f t="shared" si="117"/>
        <v>0</v>
      </c>
      <c r="O1475" s="587">
        <f t="shared" si="117"/>
        <v>0</v>
      </c>
      <c r="P1475" s="587">
        <f t="shared" si="117"/>
        <v>0</v>
      </c>
    </row>
    <row r="1476" spans="2:16">
      <c r="B1476" s="587" t="s">
        <v>868</v>
      </c>
      <c r="C1476" s="587" t="s">
        <v>869</v>
      </c>
      <c r="D1476" s="587" t="s">
        <v>871</v>
      </c>
      <c r="E1476" s="587"/>
      <c r="F1476" s="587" t="str">
        <f t="shared" si="119"/>
        <v>Marche à pied (exclusivement sur tout le trajet)</v>
      </c>
      <c r="G1476" s="587">
        <f t="shared" si="120"/>
        <v>7</v>
      </c>
      <c r="H1476" s="587"/>
      <c r="I1476" s="587">
        <v>6</v>
      </c>
      <c r="J1476" s="587">
        <f t="shared" si="121"/>
        <v>0</v>
      </c>
      <c r="K1476" s="587"/>
      <c r="L1476" s="587"/>
      <c r="M1476" s="587">
        <f t="shared" si="117"/>
        <v>7</v>
      </c>
      <c r="N1476" s="587">
        <f t="shared" si="117"/>
        <v>0</v>
      </c>
      <c r="O1476" s="587">
        <f t="shared" si="117"/>
        <v>0</v>
      </c>
      <c r="P1476" s="587">
        <f t="shared" si="117"/>
        <v>0</v>
      </c>
    </row>
    <row r="1477" spans="2:16">
      <c r="B1477" s="587" t="s">
        <v>868</v>
      </c>
      <c r="C1477" s="587" t="s">
        <v>869</v>
      </c>
      <c r="D1477" s="587" t="s">
        <v>879</v>
      </c>
      <c r="E1477" s="587"/>
      <c r="F1477" s="587" t="str">
        <f t="shared" si="119"/>
        <v>Voiture (seul(e))</v>
      </c>
      <c r="G1477" s="587">
        <f t="shared" si="120"/>
        <v>3</v>
      </c>
      <c r="H1477" s="587"/>
      <c r="I1477" s="587">
        <v>35</v>
      </c>
      <c r="J1477" s="587">
        <f t="shared" si="121"/>
        <v>2.7600000000000002</v>
      </c>
      <c r="K1477" s="587"/>
      <c r="L1477" s="587"/>
      <c r="M1477" s="587">
        <f t="shared" si="117"/>
        <v>3</v>
      </c>
      <c r="N1477" s="587">
        <f t="shared" si="117"/>
        <v>0</v>
      </c>
      <c r="O1477" s="587">
        <f t="shared" si="117"/>
        <v>0</v>
      </c>
      <c r="P1477" s="587">
        <f t="shared" si="117"/>
        <v>0</v>
      </c>
    </row>
    <row r="1478" spans="2:16">
      <c r="B1478" s="587" t="s">
        <v>868</v>
      </c>
      <c r="C1478" s="587" t="s">
        <v>869</v>
      </c>
      <c r="D1478" s="587" t="s">
        <v>871</v>
      </c>
      <c r="E1478" s="587"/>
      <c r="F1478" s="587" t="str">
        <f t="shared" si="119"/>
        <v>Marche à pied (exclusivement sur tout le trajet)</v>
      </c>
      <c r="G1478" s="587">
        <f t="shared" si="120"/>
        <v>7</v>
      </c>
      <c r="H1478" s="587"/>
      <c r="I1478" s="587"/>
      <c r="J1478" s="587">
        <f t="shared" si="121"/>
        <v>0</v>
      </c>
      <c r="K1478" s="587"/>
      <c r="L1478" s="587"/>
      <c r="M1478" s="587">
        <f t="shared" si="117"/>
        <v>7</v>
      </c>
      <c r="N1478" s="587">
        <f t="shared" si="117"/>
        <v>0</v>
      </c>
      <c r="O1478" s="587">
        <f t="shared" si="117"/>
        <v>0</v>
      </c>
      <c r="P1478" s="587">
        <f t="shared" si="117"/>
        <v>0</v>
      </c>
    </row>
    <row r="1479" spans="2:16">
      <c r="B1479" s="587" t="s">
        <v>868</v>
      </c>
      <c r="C1479" s="587" t="s">
        <v>869</v>
      </c>
      <c r="D1479" s="587"/>
      <c r="E1479" s="587" t="s">
        <v>873</v>
      </c>
      <c r="F1479" s="587" t="str">
        <f t="shared" si="119"/>
        <v>Tramway</v>
      </c>
      <c r="G1479" s="587">
        <f t="shared" si="120"/>
        <v>1</v>
      </c>
      <c r="H1479" s="587"/>
      <c r="I1479" s="587">
        <v>180</v>
      </c>
      <c r="J1479" s="587">
        <f t="shared" si="121"/>
        <v>4.8833333333333326E-2</v>
      </c>
      <c r="K1479" s="587"/>
      <c r="L1479" s="587"/>
      <c r="M1479" s="587">
        <f t="shared" si="117"/>
        <v>1</v>
      </c>
      <c r="N1479" s="587">
        <f t="shared" si="117"/>
        <v>0</v>
      </c>
      <c r="O1479" s="587">
        <f t="shared" si="117"/>
        <v>0</v>
      </c>
      <c r="P1479" s="587">
        <f t="shared" si="117"/>
        <v>0</v>
      </c>
    </row>
    <row r="1480" spans="2:16">
      <c r="B1480" s="587" t="s">
        <v>868</v>
      </c>
      <c r="C1480" s="587" t="s">
        <v>869</v>
      </c>
      <c r="D1480" s="587" t="s">
        <v>871</v>
      </c>
      <c r="E1480" s="587"/>
      <c r="F1480" s="587" t="str">
        <f t="shared" si="119"/>
        <v>Marche à pied (exclusivement sur tout le trajet)</v>
      </c>
      <c r="G1480" s="587">
        <f t="shared" si="120"/>
        <v>7</v>
      </c>
      <c r="H1480" s="587"/>
      <c r="I1480" s="587">
        <v>5</v>
      </c>
      <c r="J1480" s="587">
        <f t="shared" si="121"/>
        <v>0</v>
      </c>
      <c r="K1480" s="587"/>
      <c r="L1480" s="587"/>
      <c r="M1480" s="587">
        <f t="shared" si="117"/>
        <v>7</v>
      </c>
      <c r="N1480" s="587">
        <f t="shared" si="117"/>
        <v>0</v>
      </c>
      <c r="O1480" s="587">
        <f t="shared" si="117"/>
        <v>0</v>
      </c>
      <c r="P1480" s="587">
        <f t="shared" si="117"/>
        <v>0</v>
      </c>
    </row>
    <row r="1481" spans="2:16">
      <c r="B1481" s="587" t="s">
        <v>868</v>
      </c>
      <c r="C1481" s="587" t="s">
        <v>869</v>
      </c>
      <c r="D1481" s="587" t="s">
        <v>877</v>
      </c>
      <c r="E1481" s="587"/>
      <c r="F1481" s="587" t="str">
        <f t="shared" si="119"/>
        <v>Vélo’v</v>
      </c>
      <c r="G1481" s="587">
        <f t="shared" si="120"/>
        <v>7</v>
      </c>
      <c r="H1481" s="587"/>
      <c r="I1481" s="587">
        <v>5</v>
      </c>
      <c r="J1481" s="587">
        <f t="shared" si="121"/>
        <v>0</v>
      </c>
      <c r="K1481" s="587"/>
      <c r="L1481" s="587"/>
      <c r="M1481" s="587">
        <f t="shared" si="117"/>
        <v>7</v>
      </c>
      <c r="N1481" s="587">
        <f t="shared" si="117"/>
        <v>0</v>
      </c>
      <c r="O1481" s="587">
        <f t="shared" si="117"/>
        <v>0</v>
      </c>
      <c r="P1481" s="587">
        <f t="shared" si="117"/>
        <v>0</v>
      </c>
    </row>
    <row r="1482" spans="2:16">
      <c r="B1482" s="587" t="s">
        <v>868</v>
      </c>
      <c r="C1482" s="587" t="s">
        <v>869</v>
      </c>
      <c r="D1482" s="587" t="s">
        <v>871</v>
      </c>
      <c r="E1482" s="587"/>
      <c r="F1482" s="587" t="str">
        <f t="shared" si="119"/>
        <v>Marche à pied (exclusivement sur tout le trajet)</v>
      </c>
      <c r="G1482" s="587">
        <f t="shared" si="120"/>
        <v>7</v>
      </c>
      <c r="H1482" s="587"/>
      <c r="I1482" s="587">
        <v>10</v>
      </c>
      <c r="J1482" s="587">
        <f t="shared" si="121"/>
        <v>0</v>
      </c>
      <c r="K1482" s="587"/>
      <c r="L1482" s="587"/>
      <c r="M1482" s="587">
        <f t="shared" si="117"/>
        <v>7</v>
      </c>
      <c r="N1482" s="587">
        <f t="shared" si="117"/>
        <v>0</v>
      </c>
      <c r="O1482" s="587">
        <f t="shared" si="117"/>
        <v>0</v>
      </c>
      <c r="P1482" s="587">
        <f t="shared" si="117"/>
        <v>0</v>
      </c>
    </row>
    <row r="1483" spans="2:16">
      <c r="B1483" s="587" t="s">
        <v>868</v>
      </c>
      <c r="C1483" s="587" t="s">
        <v>869</v>
      </c>
      <c r="D1483" s="587" t="s">
        <v>871</v>
      </c>
      <c r="E1483" s="587"/>
      <c r="F1483" s="587" t="str">
        <f t="shared" si="119"/>
        <v>Marche à pied (exclusivement sur tout le trajet)</v>
      </c>
      <c r="G1483" s="587">
        <f t="shared" si="120"/>
        <v>7</v>
      </c>
      <c r="H1483" s="587"/>
      <c r="I1483" s="587">
        <v>10</v>
      </c>
      <c r="J1483" s="587">
        <f t="shared" si="121"/>
        <v>0</v>
      </c>
      <c r="K1483" s="587"/>
      <c r="L1483" s="587"/>
      <c r="M1483" s="587">
        <f t="shared" si="117"/>
        <v>7</v>
      </c>
      <c r="N1483" s="587">
        <f t="shared" si="117"/>
        <v>0</v>
      </c>
      <c r="O1483" s="587">
        <f t="shared" si="117"/>
        <v>0</v>
      </c>
      <c r="P1483" s="587">
        <f t="shared" si="117"/>
        <v>0</v>
      </c>
    </row>
    <row r="1484" spans="2:16">
      <c r="B1484" s="587" t="s">
        <v>868</v>
      </c>
      <c r="C1484" s="587" t="s">
        <v>869</v>
      </c>
      <c r="D1484" s="587" t="s">
        <v>871</v>
      </c>
      <c r="E1484" s="587"/>
      <c r="F1484" s="587" t="str">
        <f t="shared" si="119"/>
        <v>Marche à pied (exclusivement sur tout le trajet)</v>
      </c>
      <c r="G1484" s="587">
        <f t="shared" si="120"/>
        <v>7</v>
      </c>
      <c r="H1484" s="587"/>
      <c r="I1484" s="587">
        <v>15</v>
      </c>
      <c r="J1484" s="587">
        <f t="shared" si="121"/>
        <v>0</v>
      </c>
      <c r="K1484" s="587"/>
      <c r="L1484" s="587"/>
      <c r="M1484" s="587">
        <f t="shared" si="117"/>
        <v>7</v>
      </c>
      <c r="N1484" s="587">
        <f t="shared" si="117"/>
        <v>0</v>
      </c>
      <c r="O1484" s="587">
        <f t="shared" si="117"/>
        <v>0</v>
      </c>
      <c r="P1484" s="587">
        <f t="shared" si="117"/>
        <v>0</v>
      </c>
    </row>
    <row r="1485" spans="2:16">
      <c r="B1485" s="587" t="s">
        <v>868</v>
      </c>
      <c r="C1485" s="587" t="s">
        <v>869</v>
      </c>
      <c r="D1485" s="587" t="s">
        <v>871</v>
      </c>
      <c r="E1485" s="587"/>
      <c r="F1485" s="587" t="str">
        <f t="shared" si="119"/>
        <v>Marche à pied (exclusivement sur tout le trajet)</v>
      </c>
      <c r="G1485" s="587">
        <f t="shared" si="120"/>
        <v>7</v>
      </c>
      <c r="H1485" s="587"/>
      <c r="I1485" s="587">
        <v>5</v>
      </c>
      <c r="J1485" s="587">
        <f t="shared" si="121"/>
        <v>0</v>
      </c>
      <c r="K1485" s="587"/>
      <c r="L1485" s="587"/>
      <c r="M1485" s="587">
        <f t="shared" si="117"/>
        <v>7</v>
      </c>
      <c r="N1485" s="587">
        <f t="shared" si="117"/>
        <v>0</v>
      </c>
      <c r="O1485" s="587">
        <f t="shared" si="117"/>
        <v>0</v>
      </c>
      <c r="P1485" s="587">
        <f t="shared" si="117"/>
        <v>0</v>
      </c>
    </row>
    <row r="1486" spans="2:16">
      <c r="B1486" s="587" t="s">
        <v>868</v>
      </c>
      <c r="C1486" s="587" t="s">
        <v>869</v>
      </c>
      <c r="D1486" s="587" t="s">
        <v>879</v>
      </c>
      <c r="E1486" s="587"/>
      <c r="F1486" s="587" t="str">
        <f t="shared" si="119"/>
        <v>Voiture (seul(e))</v>
      </c>
      <c r="G1486" s="587">
        <f t="shared" si="120"/>
        <v>3</v>
      </c>
      <c r="H1486" s="587"/>
      <c r="I1486" s="587">
        <v>20</v>
      </c>
      <c r="J1486" s="587">
        <f t="shared" si="121"/>
        <v>2.7600000000000002</v>
      </c>
      <c r="K1486" s="587"/>
      <c r="L1486" s="587"/>
      <c r="M1486" s="587">
        <f t="shared" si="117"/>
        <v>3</v>
      </c>
      <c r="N1486" s="587">
        <f t="shared" si="117"/>
        <v>0</v>
      </c>
      <c r="O1486" s="587">
        <f t="shared" si="117"/>
        <v>0</v>
      </c>
      <c r="P1486" s="587">
        <f t="shared" si="117"/>
        <v>0</v>
      </c>
    </row>
    <row r="1487" spans="2:16">
      <c r="B1487" s="587" t="s">
        <v>868</v>
      </c>
      <c r="C1487" s="587" t="s">
        <v>869</v>
      </c>
      <c r="D1487" s="587" t="s">
        <v>848</v>
      </c>
      <c r="E1487" s="587"/>
      <c r="F1487" s="587" t="str">
        <f t="shared" si="119"/>
        <v>Bus</v>
      </c>
      <c r="G1487" s="587">
        <f t="shared" si="120"/>
        <v>2</v>
      </c>
      <c r="H1487" s="587"/>
      <c r="I1487" s="587">
        <v>15</v>
      </c>
      <c r="J1487" s="587">
        <f t="shared" si="121"/>
        <v>1.29</v>
      </c>
      <c r="K1487" s="587"/>
      <c r="L1487" s="587"/>
      <c r="M1487" s="587">
        <f t="shared" si="117"/>
        <v>2</v>
      </c>
      <c r="N1487" s="587">
        <f t="shared" si="117"/>
        <v>0</v>
      </c>
      <c r="O1487" s="587">
        <f t="shared" si="117"/>
        <v>0</v>
      </c>
      <c r="P1487" s="587">
        <f t="shared" si="117"/>
        <v>0</v>
      </c>
    </row>
    <row r="1488" spans="2:16">
      <c r="B1488" s="587" t="s">
        <v>868</v>
      </c>
      <c r="C1488" s="587" t="s">
        <v>869</v>
      </c>
      <c r="D1488" s="587" t="s">
        <v>871</v>
      </c>
      <c r="E1488" s="587"/>
      <c r="F1488" s="587" t="str">
        <f t="shared" si="119"/>
        <v>Marche à pied (exclusivement sur tout le trajet)</v>
      </c>
      <c r="G1488" s="587">
        <f t="shared" si="120"/>
        <v>7</v>
      </c>
      <c r="H1488" s="587"/>
      <c r="I1488" s="587">
        <v>9</v>
      </c>
      <c r="J1488" s="587">
        <f t="shared" si="121"/>
        <v>0</v>
      </c>
      <c r="K1488" s="587"/>
      <c r="L1488" s="587"/>
      <c r="M1488" s="587">
        <f t="shared" si="117"/>
        <v>7</v>
      </c>
      <c r="N1488" s="587">
        <f t="shared" si="117"/>
        <v>0</v>
      </c>
      <c r="O1488" s="587">
        <f t="shared" si="117"/>
        <v>0</v>
      </c>
      <c r="P1488" s="587">
        <f t="shared" si="117"/>
        <v>0</v>
      </c>
    </row>
    <row r="1489" spans="2:16">
      <c r="B1489" s="587" t="s">
        <v>868</v>
      </c>
      <c r="C1489" s="587" t="s">
        <v>869</v>
      </c>
      <c r="D1489" s="587" t="s">
        <v>848</v>
      </c>
      <c r="E1489" s="587"/>
      <c r="F1489" s="587" t="str">
        <f t="shared" si="119"/>
        <v>Bus</v>
      </c>
      <c r="G1489" s="587">
        <f t="shared" si="120"/>
        <v>2</v>
      </c>
      <c r="H1489" s="587"/>
      <c r="I1489" s="587">
        <v>35</v>
      </c>
      <c r="J1489" s="587">
        <f t="shared" si="121"/>
        <v>1.29</v>
      </c>
      <c r="K1489" s="587"/>
      <c r="L1489" s="587"/>
      <c r="M1489" s="587">
        <f t="shared" si="117"/>
        <v>2</v>
      </c>
      <c r="N1489" s="587">
        <f t="shared" si="117"/>
        <v>0</v>
      </c>
      <c r="O1489" s="587">
        <f t="shared" si="117"/>
        <v>0</v>
      </c>
      <c r="P1489" s="587">
        <f t="shared" si="117"/>
        <v>0</v>
      </c>
    </row>
    <row r="1490" spans="2:16">
      <c r="B1490" s="587" t="s">
        <v>868</v>
      </c>
      <c r="C1490" s="587" t="s">
        <v>869</v>
      </c>
      <c r="D1490" s="587" t="s">
        <v>871</v>
      </c>
      <c r="E1490" s="587"/>
      <c r="F1490" s="587" t="str">
        <f t="shared" si="119"/>
        <v>Marche à pied (exclusivement sur tout le trajet)</v>
      </c>
      <c r="G1490" s="587">
        <f t="shared" si="120"/>
        <v>7</v>
      </c>
      <c r="H1490" s="587"/>
      <c r="I1490" s="587">
        <v>5</v>
      </c>
      <c r="J1490" s="587">
        <f t="shared" si="121"/>
        <v>0</v>
      </c>
      <c r="K1490" s="587"/>
      <c r="L1490" s="587"/>
      <c r="M1490" s="587">
        <f t="shared" si="117"/>
        <v>7</v>
      </c>
      <c r="N1490" s="587">
        <f t="shared" si="117"/>
        <v>0</v>
      </c>
      <c r="O1490" s="587">
        <f t="shared" si="117"/>
        <v>0</v>
      </c>
      <c r="P1490" s="587">
        <f t="shared" si="117"/>
        <v>0</v>
      </c>
    </row>
    <row r="1491" spans="2:16">
      <c r="B1491" s="587" t="s">
        <v>868</v>
      </c>
      <c r="C1491" s="587" t="s">
        <v>869</v>
      </c>
      <c r="D1491" s="587" t="s">
        <v>877</v>
      </c>
      <c r="E1491" s="587"/>
      <c r="F1491" s="587" t="str">
        <f t="shared" si="119"/>
        <v>Vélo’v</v>
      </c>
      <c r="G1491" s="587">
        <f t="shared" si="120"/>
        <v>7</v>
      </c>
      <c r="H1491" s="587"/>
      <c r="I1491" s="587">
        <v>10</v>
      </c>
      <c r="J1491" s="587">
        <f t="shared" si="121"/>
        <v>0</v>
      </c>
      <c r="K1491" s="587"/>
      <c r="L1491" s="587"/>
      <c r="M1491" s="587">
        <f t="shared" si="117"/>
        <v>7</v>
      </c>
      <c r="N1491" s="587">
        <f t="shared" si="117"/>
        <v>0</v>
      </c>
      <c r="O1491" s="587">
        <f t="shared" si="117"/>
        <v>0</v>
      </c>
      <c r="P1491" s="587">
        <f t="shared" si="117"/>
        <v>0</v>
      </c>
    </row>
    <row r="1492" spans="2:16">
      <c r="B1492" s="587" t="s">
        <v>868</v>
      </c>
      <c r="C1492" s="587" t="s">
        <v>869</v>
      </c>
      <c r="D1492" s="587" t="s">
        <v>871</v>
      </c>
      <c r="E1492" s="587"/>
      <c r="F1492" s="587" t="str">
        <f t="shared" si="119"/>
        <v>Marche à pied (exclusivement sur tout le trajet)</v>
      </c>
      <c r="G1492" s="587">
        <f t="shared" si="120"/>
        <v>7</v>
      </c>
      <c r="H1492" s="587"/>
      <c r="I1492" s="587">
        <v>25</v>
      </c>
      <c r="J1492" s="587">
        <f t="shared" si="121"/>
        <v>0</v>
      </c>
      <c r="K1492" s="587"/>
      <c r="L1492" s="587"/>
      <c r="M1492" s="587">
        <f t="shared" si="117"/>
        <v>7</v>
      </c>
      <c r="N1492" s="587">
        <f t="shared" si="117"/>
        <v>0</v>
      </c>
      <c r="O1492" s="587">
        <f t="shared" si="117"/>
        <v>0</v>
      </c>
      <c r="P1492" s="587">
        <f t="shared" si="117"/>
        <v>0</v>
      </c>
    </row>
    <row r="1493" spans="2:16">
      <c r="B1493" s="587" t="s">
        <v>868</v>
      </c>
      <c r="C1493" s="587" t="s">
        <v>869</v>
      </c>
      <c r="D1493" s="587" t="s">
        <v>871</v>
      </c>
      <c r="E1493" s="587"/>
      <c r="F1493" s="587" t="str">
        <f t="shared" si="119"/>
        <v>Marche à pied (exclusivement sur tout le trajet)</v>
      </c>
      <c r="G1493" s="587">
        <f t="shared" si="120"/>
        <v>7</v>
      </c>
      <c r="H1493" s="587"/>
      <c r="I1493" s="587">
        <v>3</v>
      </c>
      <c r="J1493" s="587">
        <f t="shared" si="121"/>
        <v>0</v>
      </c>
      <c r="K1493" s="587"/>
      <c r="L1493" s="587"/>
      <c r="M1493" s="587">
        <f t="shared" si="117"/>
        <v>7</v>
      </c>
      <c r="N1493" s="587">
        <f t="shared" si="117"/>
        <v>0</v>
      </c>
      <c r="O1493" s="587">
        <f t="shared" si="117"/>
        <v>0</v>
      </c>
      <c r="P1493" s="587">
        <f t="shared" si="117"/>
        <v>0</v>
      </c>
    </row>
    <row r="1494" spans="2:16">
      <c r="B1494" s="587" t="s">
        <v>868</v>
      </c>
      <c r="C1494" s="587" t="s">
        <v>869</v>
      </c>
      <c r="D1494" s="587" t="s">
        <v>872</v>
      </c>
      <c r="E1494" s="587"/>
      <c r="F1494" s="587" t="str">
        <f t="shared" si="119"/>
        <v>Vélo personnel (y compris vélo à assistance électrique)</v>
      </c>
      <c r="G1494" s="587">
        <f t="shared" si="120"/>
        <v>7</v>
      </c>
      <c r="H1494" s="587"/>
      <c r="I1494" s="587">
        <v>12</v>
      </c>
      <c r="J1494" s="587">
        <f t="shared" si="121"/>
        <v>0</v>
      </c>
      <c r="K1494" s="587"/>
      <c r="L1494" s="587"/>
      <c r="M1494" s="587">
        <f t="shared" si="117"/>
        <v>7</v>
      </c>
      <c r="N1494" s="587">
        <f t="shared" si="117"/>
        <v>0</v>
      </c>
      <c r="O1494" s="587">
        <f t="shared" si="117"/>
        <v>0</v>
      </c>
      <c r="P1494" s="587">
        <f t="shared" si="117"/>
        <v>0</v>
      </c>
    </row>
    <row r="1495" spans="2:16">
      <c r="B1495" s="587" t="s">
        <v>868</v>
      </c>
      <c r="C1495" s="587" t="s">
        <v>869</v>
      </c>
      <c r="D1495" s="587" t="s">
        <v>871</v>
      </c>
      <c r="E1495" s="587"/>
      <c r="F1495" s="587" t="str">
        <f t="shared" si="119"/>
        <v>Marche à pied (exclusivement sur tout le trajet)</v>
      </c>
      <c r="G1495" s="587">
        <f t="shared" si="120"/>
        <v>7</v>
      </c>
      <c r="H1495" s="587"/>
      <c r="I1495" s="587">
        <v>8</v>
      </c>
      <c r="J1495" s="587">
        <f t="shared" si="121"/>
        <v>0</v>
      </c>
      <c r="K1495" s="587"/>
      <c r="L1495" s="587"/>
      <c r="M1495" s="587">
        <f t="shared" si="117"/>
        <v>7</v>
      </c>
      <c r="N1495" s="587">
        <f t="shared" si="117"/>
        <v>0</v>
      </c>
      <c r="O1495" s="587">
        <f t="shared" si="117"/>
        <v>0</v>
      </c>
      <c r="P1495" s="587">
        <f t="shared" si="117"/>
        <v>0</v>
      </c>
    </row>
    <row r="1496" spans="2:16">
      <c r="B1496" s="587" t="s">
        <v>868</v>
      </c>
      <c r="C1496" s="587" t="s">
        <v>869</v>
      </c>
      <c r="D1496" s="587"/>
      <c r="E1496" s="587" t="s">
        <v>878</v>
      </c>
      <c r="F1496" s="587" t="str">
        <f t="shared" si="119"/>
        <v>Marche à pied au-delà de 5 minutes</v>
      </c>
      <c r="G1496" s="587">
        <f t="shared" si="120"/>
        <v>7</v>
      </c>
      <c r="H1496" s="587"/>
      <c r="I1496" s="587">
        <v>20</v>
      </c>
      <c r="J1496" s="587">
        <f t="shared" si="121"/>
        <v>0</v>
      </c>
      <c r="K1496" s="587"/>
      <c r="L1496" s="587"/>
      <c r="M1496" s="587">
        <f t="shared" si="117"/>
        <v>7</v>
      </c>
      <c r="N1496" s="587">
        <f t="shared" si="117"/>
        <v>0</v>
      </c>
      <c r="O1496" s="587">
        <f t="shared" si="117"/>
        <v>0</v>
      </c>
      <c r="P1496" s="587">
        <f t="shared" si="117"/>
        <v>0</v>
      </c>
    </row>
    <row r="1497" spans="2:16">
      <c r="B1497" s="587" t="s">
        <v>868</v>
      </c>
      <c r="C1497" s="587" t="s">
        <v>869</v>
      </c>
      <c r="D1497" s="587" t="s">
        <v>876</v>
      </c>
      <c r="E1497" s="587"/>
      <c r="F1497" s="587" t="str">
        <f t="shared" si="119"/>
        <v>Trottinette, roller, skateboard,...</v>
      </c>
      <c r="G1497" s="587">
        <f t="shared" si="120"/>
        <v>7</v>
      </c>
      <c r="H1497" s="587"/>
      <c r="I1497" s="587">
        <v>2</v>
      </c>
      <c r="J1497" s="587">
        <f t="shared" si="121"/>
        <v>0</v>
      </c>
      <c r="K1497" s="587"/>
      <c r="L1497" s="587"/>
      <c r="M1497" s="587">
        <f t="shared" si="117"/>
        <v>7</v>
      </c>
      <c r="N1497" s="587">
        <f t="shared" si="117"/>
        <v>0</v>
      </c>
      <c r="O1497" s="587">
        <f t="shared" si="117"/>
        <v>0</v>
      </c>
      <c r="P1497" s="587">
        <f t="shared" ref="P1497:P1560" si="122">IF($C1497=P$27,$G1497,0)</f>
        <v>0</v>
      </c>
    </row>
    <row r="1498" spans="2:16">
      <c r="B1498" s="587" t="s">
        <v>868</v>
      </c>
      <c r="C1498" s="587" t="s">
        <v>869</v>
      </c>
      <c r="D1498" s="587" t="s">
        <v>873</v>
      </c>
      <c r="E1498" s="587"/>
      <c r="F1498" s="587" t="str">
        <f t="shared" si="119"/>
        <v>Tramway</v>
      </c>
      <c r="G1498" s="587">
        <f t="shared" si="120"/>
        <v>1</v>
      </c>
      <c r="H1498" s="587"/>
      <c r="I1498" s="587">
        <v>20</v>
      </c>
      <c r="J1498" s="587">
        <f t="shared" si="121"/>
        <v>4.8833333333333326E-2</v>
      </c>
      <c r="K1498" s="587"/>
      <c r="L1498" s="587"/>
      <c r="M1498" s="587">
        <f t="shared" ref="M1498:P1561" si="123">IF($C1498=M$27,$G1498,0)</f>
        <v>1</v>
      </c>
      <c r="N1498" s="587">
        <f t="shared" si="123"/>
        <v>0</v>
      </c>
      <c r="O1498" s="587">
        <f t="shared" si="123"/>
        <v>0</v>
      </c>
      <c r="P1498" s="587">
        <f t="shared" si="122"/>
        <v>0</v>
      </c>
    </row>
    <row r="1499" spans="2:16">
      <c r="B1499" s="587" t="s">
        <v>868</v>
      </c>
      <c r="C1499" s="587" t="s">
        <v>869</v>
      </c>
      <c r="D1499" s="587" t="s">
        <v>871</v>
      </c>
      <c r="E1499" s="587"/>
      <c r="F1499" s="587" t="str">
        <f t="shared" si="119"/>
        <v>Marche à pied (exclusivement sur tout le trajet)</v>
      </c>
      <c r="G1499" s="587">
        <f t="shared" si="120"/>
        <v>7</v>
      </c>
      <c r="H1499" s="587"/>
      <c r="I1499" s="587">
        <v>10</v>
      </c>
      <c r="J1499" s="587">
        <f t="shared" ref="J1499:J1527" si="124">IF(G1499=1,$C$6*($I$28*$K$6)/$J$6,IF(G1499=2,$C$7*($I$28*$K$7)/$J$7,IF(G1499=3,$C$8*$I$28*$K$8/$J$8,IF(G1499=4,$C$9*$I$28*$K$9/$J$9,IF(G1499=5,$C$10*$I$28*$K$10/$J$10,IF(G1499=6,$C$11*$K$11*$I$28/$J$11,0))))))</f>
        <v>0</v>
      </c>
      <c r="K1499" s="587"/>
      <c r="L1499" s="587"/>
      <c r="M1499" s="587">
        <f t="shared" si="123"/>
        <v>7</v>
      </c>
      <c r="N1499" s="587">
        <f t="shared" si="123"/>
        <v>0</v>
      </c>
      <c r="O1499" s="587">
        <f t="shared" si="123"/>
        <v>0</v>
      </c>
      <c r="P1499" s="587">
        <f t="shared" si="122"/>
        <v>0</v>
      </c>
    </row>
    <row r="1500" spans="2:16">
      <c r="B1500" s="587" t="s">
        <v>868</v>
      </c>
      <c r="C1500" s="587" t="s">
        <v>869</v>
      </c>
      <c r="D1500" s="587"/>
      <c r="E1500" s="587" t="s">
        <v>883</v>
      </c>
      <c r="F1500" s="587" t="str">
        <f t="shared" si="119"/>
        <v>Covoiturage (passager(ère))</v>
      </c>
      <c r="G1500" s="587">
        <f t="shared" si="120"/>
        <v>4</v>
      </c>
      <c r="H1500" s="587"/>
      <c r="I1500" s="587">
        <v>3</v>
      </c>
      <c r="J1500" s="587">
        <f t="shared" si="124"/>
        <v>0.69000000000000006</v>
      </c>
      <c r="K1500" s="587"/>
      <c r="L1500" s="587"/>
      <c r="M1500" s="587">
        <f t="shared" si="123"/>
        <v>4</v>
      </c>
      <c r="N1500" s="587">
        <f t="shared" si="123"/>
        <v>0</v>
      </c>
      <c r="O1500" s="587">
        <f t="shared" si="123"/>
        <v>0</v>
      </c>
      <c r="P1500" s="587">
        <f t="shared" si="122"/>
        <v>0</v>
      </c>
    </row>
    <row r="1501" spans="2:16">
      <c r="B1501" s="587" t="s">
        <v>868</v>
      </c>
      <c r="C1501" s="587" t="s">
        <v>869</v>
      </c>
      <c r="D1501" s="587" t="s">
        <v>871</v>
      </c>
      <c r="E1501" s="587"/>
      <c r="F1501" s="587" t="str">
        <f t="shared" si="119"/>
        <v>Marche à pied (exclusivement sur tout le trajet)</v>
      </c>
      <c r="G1501" s="587">
        <f t="shared" si="120"/>
        <v>7</v>
      </c>
      <c r="H1501" s="587"/>
      <c r="I1501" s="587">
        <v>10</v>
      </c>
      <c r="J1501" s="587">
        <f t="shared" si="124"/>
        <v>0</v>
      </c>
      <c r="K1501" s="587"/>
      <c r="L1501" s="587"/>
      <c r="M1501" s="587">
        <f t="shared" si="123"/>
        <v>7</v>
      </c>
      <c r="N1501" s="587">
        <f t="shared" si="123"/>
        <v>0</v>
      </c>
      <c r="O1501" s="587">
        <f t="shared" si="123"/>
        <v>0</v>
      </c>
      <c r="P1501" s="587">
        <f t="shared" si="122"/>
        <v>0</v>
      </c>
    </row>
    <row r="1502" spans="2:16">
      <c r="B1502" s="587" t="s">
        <v>868</v>
      </c>
      <c r="C1502" s="587" t="s">
        <v>869</v>
      </c>
      <c r="D1502" s="587"/>
      <c r="E1502" s="587" t="s">
        <v>872</v>
      </c>
      <c r="F1502" s="587" t="str">
        <f t="shared" si="119"/>
        <v>Vélo personnel (y compris vélo à assistance électrique)</v>
      </c>
      <c r="G1502" s="587">
        <f t="shared" si="120"/>
        <v>7</v>
      </c>
      <c r="H1502" s="587"/>
      <c r="I1502" s="587">
        <v>10</v>
      </c>
      <c r="J1502" s="587">
        <f t="shared" si="124"/>
        <v>0</v>
      </c>
      <c r="K1502" s="587"/>
      <c r="L1502" s="587"/>
      <c r="M1502" s="587">
        <f t="shared" si="123"/>
        <v>7</v>
      </c>
      <c r="N1502" s="587">
        <f t="shared" si="123"/>
        <v>0</v>
      </c>
      <c r="O1502" s="587">
        <f t="shared" si="123"/>
        <v>0</v>
      </c>
      <c r="P1502" s="587">
        <f t="shared" si="122"/>
        <v>0</v>
      </c>
    </row>
    <row r="1503" spans="2:16">
      <c r="B1503" s="587" t="s">
        <v>868</v>
      </c>
      <c r="C1503" s="587" t="s">
        <v>869</v>
      </c>
      <c r="D1503" s="587" t="s">
        <v>871</v>
      </c>
      <c r="E1503" s="587"/>
      <c r="F1503" s="587" t="str">
        <f t="shared" si="119"/>
        <v>Marche à pied (exclusivement sur tout le trajet)</v>
      </c>
      <c r="G1503" s="587">
        <f t="shared" si="120"/>
        <v>7</v>
      </c>
      <c r="H1503" s="587"/>
      <c r="I1503" s="587">
        <v>5</v>
      </c>
      <c r="J1503" s="587">
        <f t="shared" si="124"/>
        <v>0</v>
      </c>
      <c r="K1503" s="587"/>
      <c r="L1503" s="587"/>
      <c r="M1503" s="587">
        <f t="shared" si="123"/>
        <v>7</v>
      </c>
      <c r="N1503" s="587">
        <f t="shared" si="123"/>
        <v>0</v>
      </c>
      <c r="O1503" s="587">
        <f t="shared" si="123"/>
        <v>0</v>
      </c>
      <c r="P1503" s="587">
        <f t="shared" si="122"/>
        <v>0</v>
      </c>
    </row>
    <row r="1504" spans="2:16">
      <c r="B1504" s="587" t="s">
        <v>868</v>
      </c>
      <c r="C1504" s="587" t="s">
        <v>869</v>
      </c>
      <c r="D1504" s="587" t="s">
        <v>876</v>
      </c>
      <c r="E1504" s="587"/>
      <c r="F1504" s="587" t="str">
        <f t="shared" si="119"/>
        <v>Trottinette, roller, skateboard,...</v>
      </c>
      <c r="G1504" s="587">
        <f t="shared" si="120"/>
        <v>7</v>
      </c>
      <c r="H1504" s="587"/>
      <c r="I1504" s="587">
        <v>10</v>
      </c>
      <c r="J1504" s="587">
        <f t="shared" si="124"/>
        <v>0</v>
      </c>
      <c r="K1504" s="587"/>
      <c r="L1504" s="587"/>
      <c r="M1504" s="587">
        <f t="shared" si="123"/>
        <v>7</v>
      </c>
      <c r="N1504" s="587">
        <f t="shared" si="123"/>
        <v>0</v>
      </c>
      <c r="O1504" s="587">
        <f t="shared" si="123"/>
        <v>0</v>
      </c>
      <c r="P1504" s="587">
        <f t="shared" si="122"/>
        <v>0</v>
      </c>
    </row>
    <row r="1505" spans="2:16">
      <c r="B1505" s="587" t="s">
        <v>868</v>
      </c>
      <c r="C1505" s="587" t="s">
        <v>869</v>
      </c>
      <c r="D1505" s="587" t="s">
        <v>871</v>
      </c>
      <c r="E1505" s="587"/>
      <c r="F1505" s="587" t="str">
        <f t="shared" si="119"/>
        <v>Marche à pied (exclusivement sur tout le trajet)</v>
      </c>
      <c r="G1505" s="587">
        <f t="shared" si="120"/>
        <v>7</v>
      </c>
      <c r="H1505" s="587"/>
      <c r="I1505" s="587">
        <v>10</v>
      </c>
      <c r="J1505" s="587">
        <f t="shared" si="124"/>
        <v>0</v>
      </c>
      <c r="K1505" s="587"/>
      <c r="L1505" s="587"/>
      <c r="M1505" s="587">
        <f t="shared" si="123"/>
        <v>7</v>
      </c>
      <c r="N1505" s="587">
        <f t="shared" si="123"/>
        <v>0</v>
      </c>
      <c r="O1505" s="587">
        <f t="shared" si="123"/>
        <v>0</v>
      </c>
      <c r="P1505" s="587">
        <f t="shared" si="122"/>
        <v>0</v>
      </c>
    </row>
    <row r="1506" spans="2:16">
      <c r="B1506" s="587" t="s">
        <v>868</v>
      </c>
      <c r="C1506" s="587" t="s">
        <v>869</v>
      </c>
      <c r="D1506" s="587" t="s">
        <v>871</v>
      </c>
      <c r="E1506" s="587"/>
      <c r="F1506" s="587" t="str">
        <f t="shared" si="119"/>
        <v>Marche à pied (exclusivement sur tout le trajet)</v>
      </c>
      <c r="G1506" s="587">
        <f t="shared" si="120"/>
        <v>7</v>
      </c>
      <c r="H1506" s="587"/>
      <c r="I1506" s="587">
        <v>20</v>
      </c>
      <c r="J1506" s="587">
        <f t="shared" si="124"/>
        <v>0</v>
      </c>
      <c r="K1506" s="587"/>
      <c r="L1506" s="587"/>
      <c r="M1506" s="587">
        <f t="shared" si="123"/>
        <v>7</v>
      </c>
      <c r="N1506" s="587">
        <f t="shared" si="123"/>
        <v>0</v>
      </c>
      <c r="O1506" s="587">
        <f t="shared" si="123"/>
        <v>0</v>
      </c>
      <c r="P1506" s="587">
        <f t="shared" si="122"/>
        <v>0</v>
      </c>
    </row>
    <row r="1507" spans="2:16">
      <c r="B1507" s="587" t="s">
        <v>868</v>
      </c>
      <c r="C1507" s="587" t="s">
        <v>869</v>
      </c>
      <c r="D1507" s="587" t="s">
        <v>879</v>
      </c>
      <c r="E1507" s="587"/>
      <c r="F1507" s="587" t="str">
        <f t="shared" si="119"/>
        <v>Voiture (seul(e))</v>
      </c>
      <c r="G1507" s="587">
        <f t="shared" si="120"/>
        <v>3</v>
      </c>
      <c r="H1507" s="587"/>
      <c r="I1507" s="587">
        <v>100</v>
      </c>
      <c r="J1507" s="587">
        <f t="shared" si="124"/>
        <v>2.7600000000000002</v>
      </c>
      <c r="K1507" s="587"/>
      <c r="L1507" s="587"/>
      <c r="M1507" s="587">
        <f t="shared" si="123"/>
        <v>3</v>
      </c>
      <c r="N1507" s="587">
        <f t="shared" si="123"/>
        <v>0</v>
      </c>
      <c r="O1507" s="587">
        <f t="shared" si="123"/>
        <v>0</v>
      </c>
      <c r="P1507" s="587">
        <f t="shared" si="122"/>
        <v>0</v>
      </c>
    </row>
    <row r="1508" spans="2:16">
      <c r="B1508" s="587" t="s">
        <v>868</v>
      </c>
      <c r="C1508" s="587" t="s">
        <v>869</v>
      </c>
      <c r="D1508" s="587" t="s">
        <v>871</v>
      </c>
      <c r="E1508" s="587"/>
      <c r="F1508" s="587" t="str">
        <f t="shared" si="119"/>
        <v>Marche à pied (exclusivement sur tout le trajet)</v>
      </c>
      <c r="G1508" s="587">
        <f t="shared" si="120"/>
        <v>7</v>
      </c>
      <c r="H1508" s="587"/>
      <c r="I1508" s="587">
        <v>2</v>
      </c>
      <c r="J1508" s="587">
        <f t="shared" si="124"/>
        <v>0</v>
      </c>
      <c r="K1508" s="587"/>
      <c r="L1508" s="587"/>
      <c r="M1508" s="587">
        <f t="shared" si="123"/>
        <v>7</v>
      </c>
      <c r="N1508" s="587">
        <f t="shared" si="123"/>
        <v>0</v>
      </c>
      <c r="O1508" s="587">
        <f t="shared" si="123"/>
        <v>0</v>
      </c>
      <c r="P1508" s="587">
        <f t="shared" si="122"/>
        <v>0</v>
      </c>
    </row>
    <row r="1509" spans="2:16">
      <c r="B1509" s="587" t="s">
        <v>868</v>
      </c>
      <c r="C1509" s="587" t="s">
        <v>869</v>
      </c>
      <c r="D1509" s="587" t="s">
        <v>871</v>
      </c>
      <c r="E1509" s="587"/>
      <c r="F1509" s="587" t="str">
        <f t="shared" si="119"/>
        <v>Marche à pied (exclusivement sur tout le trajet)</v>
      </c>
      <c r="G1509" s="587">
        <f t="shared" si="120"/>
        <v>7</v>
      </c>
      <c r="H1509" s="587"/>
      <c r="I1509" s="587">
        <v>1</v>
      </c>
      <c r="J1509" s="587">
        <f t="shared" si="124"/>
        <v>0</v>
      </c>
      <c r="K1509" s="587"/>
      <c r="L1509" s="587"/>
      <c r="M1509" s="587">
        <f t="shared" si="123"/>
        <v>7</v>
      </c>
      <c r="N1509" s="587">
        <f t="shared" si="123"/>
        <v>0</v>
      </c>
      <c r="O1509" s="587">
        <f t="shared" si="123"/>
        <v>0</v>
      </c>
      <c r="P1509" s="587">
        <f t="shared" si="122"/>
        <v>0</v>
      </c>
    </row>
    <row r="1510" spans="2:16">
      <c r="B1510" s="587" t="s">
        <v>868</v>
      </c>
      <c r="C1510" s="587" t="s">
        <v>35</v>
      </c>
      <c r="D1510" s="587"/>
      <c r="E1510" s="587" t="s">
        <v>870</v>
      </c>
      <c r="F1510" s="587" t="str">
        <f t="shared" si="119"/>
        <v>Métro</v>
      </c>
      <c r="G1510" s="587">
        <f t="shared" si="120"/>
        <v>1</v>
      </c>
      <c r="H1510" s="587"/>
      <c r="I1510" s="587">
        <v>35</v>
      </c>
      <c r="J1510" s="587">
        <f t="shared" si="124"/>
        <v>4.8833333333333326E-2</v>
      </c>
      <c r="K1510" s="587"/>
      <c r="L1510" s="587"/>
      <c r="M1510" s="587">
        <f t="shared" si="123"/>
        <v>0</v>
      </c>
      <c r="N1510" s="587">
        <f t="shared" si="123"/>
        <v>0</v>
      </c>
      <c r="O1510" s="587">
        <f t="shared" si="123"/>
        <v>0</v>
      </c>
      <c r="P1510" s="587">
        <f t="shared" si="122"/>
        <v>1</v>
      </c>
    </row>
    <row r="1511" spans="2:16">
      <c r="B1511" s="587" t="s">
        <v>868</v>
      </c>
      <c r="C1511" s="587" t="s">
        <v>869</v>
      </c>
      <c r="D1511" s="587" t="s">
        <v>871</v>
      </c>
      <c r="E1511" s="587"/>
      <c r="F1511" s="587" t="str">
        <f t="shared" si="119"/>
        <v>Marche à pied (exclusivement sur tout le trajet)</v>
      </c>
      <c r="G1511" s="587">
        <f t="shared" si="120"/>
        <v>7</v>
      </c>
      <c r="H1511" s="587"/>
      <c r="I1511" s="587">
        <v>10</v>
      </c>
      <c r="J1511" s="587">
        <f t="shared" si="124"/>
        <v>0</v>
      </c>
      <c r="K1511" s="587"/>
      <c r="L1511" s="587"/>
      <c r="M1511" s="587">
        <f t="shared" si="123"/>
        <v>7</v>
      </c>
      <c r="N1511" s="587">
        <f t="shared" si="123"/>
        <v>0</v>
      </c>
      <c r="O1511" s="587">
        <f t="shared" si="123"/>
        <v>0</v>
      </c>
      <c r="P1511" s="587">
        <f t="shared" si="122"/>
        <v>0</v>
      </c>
    </row>
    <row r="1512" spans="2:16">
      <c r="B1512" s="587" t="s">
        <v>868</v>
      </c>
      <c r="C1512" s="587" t="s">
        <v>869</v>
      </c>
      <c r="D1512" s="587" t="s">
        <v>872</v>
      </c>
      <c r="E1512" s="587"/>
      <c r="F1512" s="587" t="str">
        <f t="shared" si="119"/>
        <v>Vélo personnel (y compris vélo à assistance électrique)</v>
      </c>
      <c r="G1512" s="587">
        <f t="shared" si="120"/>
        <v>7</v>
      </c>
      <c r="H1512" s="587"/>
      <c r="I1512" s="587">
        <v>10</v>
      </c>
      <c r="J1512" s="587">
        <f t="shared" si="124"/>
        <v>0</v>
      </c>
      <c r="K1512" s="587"/>
      <c r="L1512" s="587"/>
      <c r="M1512" s="587">
        <f t="shared" si="123"/>
        <v>7</v>
      </c>
      <c r="N1512" s="587">
        <f t="shared" si="123"/>
        <v>0</v>
      </c>
      <c r="O1512" s="587">
        <f t="shared" si="123"/>
        <v>0</v>
      </c>
      <c r="P1512" s="587">
        <f t="shared" si="122"/>
        <v>0</v>
      </c>
    </row>
    <row r="1513" spans="2:16">
      <c r="B1513" s="587" t="s">
        <v>868</v>
      </c>
      <c r="C1513" s="587" t="s">
        <v>869</v>
      </c>
      <c r="D1513" s="587" t="s">
        <v>871</v>
      </c>
      <c r="E1513" s="587"/>
      <c r="F1513" s="587" t="str">
        <f t="shared" si="119"/>
        <v>Marche à pied (exclusivement sur tout le trajet)</v>
      </c>
      <c r="G1513" s="587">
        <f t="shared" si="120"/>
        <v>7</v>
      </c>
      <c r="H1513" s="587"/>
      <c r="I1513" s="587">
        <v>9</v>
      </c>
      <c r="J1513" s="587">
        <f t="shared" si="124"/>
        <v>0</v>
      </c>
      <c r="K1513" s="587"/>
      <c r="L1513" s="587"/>
      <c r="M1513" s="587">
        <f t="shared" si="123"/>
        <v>7</v>
      </c>
      <c r="N1513" s="587">
        <f t="shared" si="123"/>
        <v>0</v>
      </c>
      <c r="O1513" s="587">
        <f t="shared" si="123"/>
        <v>0</v>
      </c>
      <c r="P1513" s="587">
        <f t="shared" si="122"/>
        <v>0</v>
      </c>
    </row>
    <row r="1514" spans="2:16">
      <c r="B1514" s="587" t="s">
        <v>868</v>
      </c>
      <c r="C1514" s="587" t="s">
        <v>869</v>
      </c>
      <c r="D1514" s="587" t="s">
        <v>871</v>
      </c>
      <c r="E1514" s="587"/>
      <c r="F1514" s="587" t="str">
        <f t="shared" si="119"/>
        <v>Marche à pied (exclusivement sur tout le trajet)</v>
      </c>
      <c r="G1514" s="587">
        <f t="shared" si="120"/>
        <v>7</v>
      </c>
      <c r="H1514" s="587"/>
      <c r="I1514" s="587">
        <v>8</v>
      </c>
      <c r="J1514" s="587">
        <f t="shared" si="124"/>
        <v>0</v>
      </c>
      <c r="K1514" s="587"/>
      <c r="L1514" s="587"/>
      <c r="M1514" s="587">
        <f t="shared" si="123"/>
        <v>7</v>
      </c>
      <c r="N1514" s="587">
        <f t="shared" si="123"/>
        <v>0</v>
      </c>
      <c r="O1514" s="587">
        <f t="shared" si="123"/>
        <v>0</v>
      </c>
      <c r="P1514" s="587">
        <f t="shared" si="122"/>
        <v>0</v>
      </c>
    </row>
    <row r="1515" spans="2:16">
      <c r="B1515" s="587" t="s">
        <v>868</v>
      </c>
      <c r="C1515" s="587" t="s">
        <v>869</v>
      </c>
      <c r="D1515" s="587" t="s">
        <v>848</v>
      </c>
      <c r="E1515" s="587"/>
      <c r="F1515" s="587" t="str">
        <f t="shared" si="119"/>
        <v>Bus</v>
      </c>
      <c r="G1515" s="587">
        <f t="shared" si="120"/>
        <v>2</v>
      </c>
      <c r="H1515" s="587"/>
      <c r="I1515" s="587">
        <v>25</v>
      </c>
      <c r="J1515" s="587">
        <f t="shared" si="124"/>
        <v>1.29</v>
      </c>
      <c r="K1515" s="587"/>
      <c r="L1515" s="587"/>
      <c r="M1515" s="587">
        <f t="shared" si="123"/>
        <v>2</v>
      </c>
      <c r="N1515" s="587">
        <f t="shared" si="123"/>
        <v>0</v>
      </c>
      <c r="O1515" s="587">
        <f t="shared" si="123"/>
        <v>0</v>
      </c>
      <c r="P1515" s="587">
        <f t="shared" si="122"/>
        <v>0</v>
      </c>
    </row>
    <row r="1516" spans="2:16">
      <c r="B1516" s="587" t="s">
        <v>868</v>
      </c>
      <c r="C1516" s="587" t="s">
        <v>869</v>
      </c>
      <c r="D1516" s="587"/>
      <c r="E1516" s="587" t="s">
        <v>878</v>
      </c>
      <c r="F1516" s="587" t="str">
        <f t="shared" si="119"/>
        <v>Marche à pied au-delà de 5 minutes</v>
      </c>
      <c r="G1516" s="587">
        <f t="shared" si="120"/>
        <v>7</v>
      </c>
      <c r="H1516" s="587"/>
      <c r="I1516" s="587">
        <v>3</v>
      </c>
      <c r="J1516" s="587">
        <f t="shared" si="124"/>
        <v>0</v>
      </c>
      <c r="K1516" s="587"/>
      <c r="L1516" s="587"/>
      <c r="M1516" s="587">
        <f t="shared" si="123"/>
        <v>7</v>
      </c>
      <c r="N1516" s="587">
        <f t="shared" si="123"/>
        <v>0</v>
      </c>
      <c r="O1516" s="587">
        <f t="shared" si="123"/>
        <v>0</v>
      </c>
      <c r="P1516" s="587">
        <f t="shared" si="122"/>
        <v>0</v>
      </c>
    </row>
    <row r="1517" spans="2:16">
      <c r="B1517" s="587" t="s">
        <v>868</v>
      </c>
      <c r="C1517" s="587" t="s">
        <v>869</v>
      </c>
      <c r="D1517" s="587" t="s">
        <v>877</v>
      </c>
      <c r="E1517" s="587"/>
      <c r="F1517" s="587" t="str">
        <f t="shared" si="119"/>
        <v>Vélo’v</v>
      </c>
      <c r="G1517" s="587">
        <f t="shared" si="120"/>
        <v>7</v>
      </c>
      <c r="H1517" s="587"/>
      <c r="I1517" s="587">
        <v>20</v>
      </c>
      <c r="J1517" s="587">
        <f t="shared" si="124"/>
        <v>0</v>
      </c>
      <c r="K1517" s="587"/>
      <c r="L1517" s="587"/>
      <c r="M1517" s="587">
        <f t="shared" si="123"/>
        <v>7</v>
      </c>
      <c r="N1517" s="587">
        <f t="shared" si="123"/>
        <v>0</v>
      </c>
      <c r="O1517" s="587">
        <f t="shared" si="123"/>
        <v>0</v>
      </c>
      <c r="P1517" s="587">
        <f t="shared" si="122"/>
        <v>0</v>
      </c>
    </row>
    <row r="1518" spans="2:16">
      <c r="B1518" s="587" t="s">
        <v>868</v>
      </c>
      <c r="C1518" s="587" t="s">
        <v>869</v>
      </c>
      <c r="D1518" s="587" t="s">
        <v>872</v>
      </c>
      <c r="E1518" s="587"/>
      <c r="F1518" s="587" t="str">
        <f t="shared" si="119"/>
        <v>Vélo personnel (y compris vélo à assistance électrique)</v>
      </c>
      <c r="G1518" s="587">
        <f t="shared" si="120"/>
        <v>7</v>
      </c>
      <c r="H1518" s="587"/>
      <c r="I1518" s="587">
        <v>5</v>
      </c>
      <c r="J1518" s="587">
        <f t="shared" si="124"/>
        <v>0</v>
      </c>
      <c r="K1518" s="587"/>
      <c r="L1518" s="587"/>
      <c r="M1518" s="587">
        <f t="shared" si="123"/>
        <v>7</v>
      </c>
      <c r="N1518" s="587">
        <f t="shared" si="123"/>
        <v>0</v>
      </c>
      <c r="O1518" s="587">
        <f t="shared" si="123"/>
        <v>0</v>
      </c>
      <c r="P1518" s="587">
        <f t="shared" si="122"/>
        <v>0</v>
      </c>
    </row>
    <row r="1519" spans="2:16">
      <c r="B1519" s="587" t="s">
        <v>868</v>
      </c>
      <c r="C1519" s="587" t="s">
        <v>869</v>
      </c>
      <c r="D1519" s="587" t="s">
        <v>876</v>
      </c>
      <c r="E1519" s="587"/>
      <c r="F1519" s="587" t="str">
        <f t="shared" si="119"/>
        <v>Trottinette, roller, skateboard,...</v>
      </c>
      <c r="G1519" s="587">
        <f t="shared" si="120"/>
        <v>7</v>
      </c>
      <c r="H1519" s="587"/>
      <c r="I1519" s="587">
        <v>5</v>
      </c>
      <c r="J1519" s="587">
        <f t="shared" si="124"/>
        <v>0</v>
      </c>
      <c r="K1519" s="587"/>
      <c r="L1519" s="587"/>
      <c r="M1519" s="587">
        <f t="shared" si="123"/>
        <v>7</v>
      </c>
      <c r="N1519" s="587">
        <f t="shared" si="123"/>
        <v>0</v>
      </c>
      <c r="O1519" s="587">
        <f t="shared" si="123"/>
        <v>0</v>
      </c>
      <c r="P1519" s="587">
        <f t="shared" si="122"/>
        <v>0</v>
      </c>
    </row>
    <row r="1520" spans="2:16">
      <c r="B1520" s="587" t="s">
        <v>868</v>
      </c>
      <c r="C1520" s="587" t="s">
        <v>869</v>
      </c>
      <c r="D1520" s="587"/>
      <c r="E1520" s="587" t="s">
        <v>878</v>
      </c>
      <c r="F1520" s="587" t="str">
        <f t="shared" si="119"/>
        <v>Marche à pied au-delà de 5 minutes</v>
      </c>
      <c r="G1520" s="587">
        <f t="shared" si="120"/>
        <v>7</v>
      </c>
      <c r="H1520" s="587"/>
      <c r="I1520" s="587">
        <v>8</v>
      </c>
      <c r="J1520" s="587">
        <f t="shared" si="124"/>
        <v>0</v>
      </c>
      <c r="K1520" s="587"/>
      <c r="L1520" s="587"/>
      <c r="M1520" s="587">
        <f t="shared" si="123"/>
        <v>7</v>
      </c>
      <c r="N1520" s="587">
        <f t="shared" si="123"/>
        <v>0</v>
      </c>
      <c r="O1520" s="587">
        <f t="shared" si="123"/>
        <v>0</v>
      </c>
      <c r="P1520" s="587">
        <f t="shared" si="122"/>
        <v>0</v>
      </c>
    </row>
    <row r="1521" spans="2:16">
      <c r="B1521" s="587" t="s">
        <v>868</v>
      </c>
      <c r="C1521" s="587" t="s">
        <v>869</v>
      </c>
      <c r="D1521" s="587" t="s">
        <v>871</v>
      </c>
      <c r="E1521" s="587"/>
      <c r="F1521" s="587" t="str">
        <f t="shared" si="119"/>
        <v>Marche à pied (exclusivement sur tout le trajet)</v>
      </c>
      <c r="G1521" s="587">
        <f t="shared" si="120"/>
        <v>7</v>
      </c>
      <c r="H1521" s="587"/>
      <c r="I1521" s="587">
        <v>10</v>
      </c>
      <c r="J1521" s="587">
        <f t="shared" si="124"/>
        <v>0</v>
      </c>
      <c r="K1521" s="587"/>
      <c r="L1521" s="587"/>
      <c r="M1521" s="587">
        <f t="shared" si="123"/>
        <v>7</v>
      </c>
      <c r="N1521" s="587">
        <f t="shared" si="123"/>
        <v>0</v>
      </c>
      <c r="O1521" s="587">
        <f t="shared" si="123"/>
        <v>0</v>
      </c>
      <c r="P1521" s="587">
        <f t="shared" si="122"/>
        <v>0</v>
      </c>
    </row>
    <row r="1522" spans="2:16">
      <c r="B1522" s="587" t="s">
        <v>868</v>
      </c>
      <c r="C1522" s="587" t="s">
        <v>869</v>
      </c>
      <c r="D1522" s="587" t="s">
        <v>872</v>
      </c>
      <c r="E1522" s="587"/>
      <c r="F1522" s="587" t="str">
        <f t="shared" si="119"/>
        <v>Vélo personnel (y compris vélo à assistance électrique)</v>
      </c>
      <c r="G1522" s="587">
        <f t="shared" si="120"/>
        <v>7</v>
      </c>
      <c r="H1522" s="587"/>
      <c r="I1522" s="587">
        <v>10</v>
      </c>
      <c r="J1522" s="587">
        <f t="shared" si="124"/>
        <v>0</v>
      </c>
      <c r="K1522" s="587"/>
      <c r="L1522" s="587"/>
      <c r="M1522" s="587">
        <f t="shared" si="123"/>
        <v>7</v>
      </c>
      <c r="N1522" s="587">
        <f t="shared" si="123"/>
        <v>0</v>
      </c>
      <c r="O1522" s="587">
        <f t="shared" si="123"/>
        <v>0</v>
      </c>
      <c r="P1522" s="587">
        <f t="shared" si="122"/>
        <v>0</v>
      </c>
    </row>
    <row r="1523" spans="2:16">
      <c r="B1523" s="587" t="s">
        <v>868</v>
      </c>
      <c r="C1523" s="587" t="s">
        <v>869</v>
      </c>
      <c r="D1523" s="587" t="s">
        <v>873</v>
      </c>
      <c r="E1523" s="587"/>
      <c r="F1523" s="587" t="str">
        <f t="shared" si="119"/>
        <v>Tramway</v>
      </c>
      <c r="G1523" s="587">
        <f t="shared" si="120"/>
        <v>1</v>
      </c>
      <c r="H1523" s="587"/>
      <c r="I1523" s="587">
        <v>15</v>
      </c>
      <c r="J1523" s="587">
        <f t="shared" si="124"/>
        <v>4.8833333333333326E-2</v>
      </c>
      <c r="K1523" s="587"/>
      <c r="L1523" s="587"/>
      <c r="M1523" s="587">
        <f t="shared" si="123"/>
        <v>1</v>
      </c>
      <c r="N1523" s="587">
        <f t="shared" si="123"/>
        <v>0</v>
      </c>
      <c r="O1523" s="587">
        <f t="shared" si="123"/>
        <v>0</v>
      </c>
      <c r="P1523" s="587">
        <f t="shared" si="122"/>
        <v>0</v>
      </c>
    </row>
    <row r="1524" spans="2:16">
      <c r="B1524" s="587" t="s">
        <v>868</v>
      </c>
      <c r="C1524" s="587" t="s">
        <v>869</v>
      </c>
      <c r="D1524" s="587" t="s">
        <v>871</v>
      </c>
      <c r="E1524" s="587"/>
      <c r="F1524" s="587" t="str">
        <f t="shared" si="119"/>
        <v>Marche à pied (exclusivement sur tout le trajet)</v>
      </c>
      <c r="G1524" s="587">
        <f t="shared" si="120"/>
        <v>7</v>
      </c>
      <c r="H1524" s="587"/>
      <c r="I1524" s="587">
        <v>1</v>
      </c>
      <c r="J1524" s="587">
        <f t="shared" si="124"/>
        <v>0</v>
      </c>
      <c r="K1524" s="587"/>
      <c r="L1524" s="587"/>
      <c r="M1524" s="587">
        <f t="shared" si="123"/>
        <v>7</v>
      </c>
      <c r="N1524" s="587">
        <f t="shared" si="123"/>
        <v>0</v>
      </c>
      <c r="O1524" s="587">
        <f t="shared" si="123"/>
        <v>0</v>
      </c>
      <c r="P1524" s="587">
        <f t="shared" si="122"/>
        <v>0</v>
      </c>
    </row>
    <row r="1525" spans="2:16">
      <c r="B1525" s="587" t="s">
        <v>868</v>
      </c>
      <c r="C1525" s="587" t="s">
        <v>869</v>
      </c>
      <c r="D1525" s="587" t="s">
        <v>873</v>
      </c>
      <c r="E1525" s="587"/>
      <c r="F1525" s="587" t="str">
        <f t="shared" si="119"/>
        <v>Tramway</v>
      </c>
      <c r="G1525" s="587">
        <f t="shared" si="120"/>
        <v>1</v>
      </c>
      <c r="H1525" s="587"/>
      <c r="I1525" s="587">
        <v>10</v>
      </c>
      <c r="J1525" s="587">
        <f t="shared" si="124"/>
        <v>4.8833333333333326E-2</v>
      </c>
      <c r="K1525" s="587"/>
      <c r="L1525" s="587"/>
      <c r="M1525" s="587">
        <f t="shared" si="123"/>
        <v>1</v>
      </c>
      <c r="N1525" s="587">
        <f t="shared" si="123"/>
        <v>0</v>
      </c>
      <c r="O1525" s="587">
        <f t="shared" si="123"/>
        <v>0</v>
      </c>
      <c r="P1525" s="587">
        <f t="shared" si="122"/>
        <v>0</v>
      </c>
    </row>
    <row r="1526" spans="2:16">
      <c r="B1526" s="587" t="s">
        <v>868</v>
      </c>
      <c r="C1526" s="587" t="s">
        <v>869</v>
      </c>
      <c r="D1526" s="587" t="s">
        <v>871</v>
      </c>
      <c r="E1526" s="587"/>
      <c r="F1526" s="587" t="str">
        <f t="shared" si="119"/>
        <v>Marche à pied (exclusivement sur tout le trajet)</v>
      </c>
      <c r="G1526" s="587">
        <f t="shared" si="120"/>
        <v>7</v>
      </c>
      <c r="H1526" s="587"/>
      <c r="I1526" s="587">
        <v>3</v>
      </c>
      <c r="J1526" s="587">
        <f t="shared" si="124"/>
        <v>0</v>
      </c>
      <c r="K1526" s="587"/>
      <c r="L1526" s="587"/>
      <c r="M1526" s="587">
        <f t="shared" si="123"/>
        <v>7</v>
      </c>
      <c r="N1526" s="587">
        <f t="shared" si="123"/>
        <v>0</v>
      </c>
      <c r="O1526" s="587">
        <f t="shared" si="123"/>
        <v>0</v>
      </c>
      <c r="P1526" s="587">
        <f t="shared" si="122"/>
        <v>0</v>
      </c>
    </row>
    <row r="1527" spans="2:16">
      <c r="B1527" s="587" t="s">
        <v>868</v>
      </c>
      <c r="C1527" s="587" t="s">
        <v>869</v>
      </c>
      <c r="D1527" s="587" t="s">
        <v>871</v>
      </c>
      <c r="E1527" s="587"/>
      <c r="F1527" s="587" t="str">
        <f t="shared" si="119"/>
        <v>Marche à pied (exclusivement sur tout le trajet)</v>
      </c>
      <c r="G1527" s="587">
        <f t="shared" si="120"/>
        <v>7</v>
      </c>
      <c r="H1527" s="587"/>
      <c r="I1527" s="587">
        <v>5</v>
      </c>
      <c r="J1527" s="587">
        <f t="shared" si="124"/>
        <v>0</v>
      </c>
      <c r="K1527" s="587"/>
      <c r="L1527" s="587"/>
      <c r="M1527" s="587">
        <f t="shared" si="123"/>
        <v>7</v>
      </c>
      <c r="N1527" s="587">
        <f t="shared" si="123"/>
        <v>0</v>
      </c>
      <c r="O1527" s="587">
        <f t="shared" si="123"/>
        <v>0</v>
      </c>
      <c r="P1527" s="587">
        <f t="shared" si="122"/>
        <v>0</v>
      </c>
    </row>
    <row r="1528" spans="2:16">
      <c r="B1528" s="587" t="s">
        <v>868</v>
      </c>
      <c r="C1528" s="587" t="s">
        <v>869</v>
      </c>
      <c r="D1528" s="587" t="s">
        <v>871</v>
      </c>
      <c r="E1528" s="587"/>
      <c r="F1528" s="587" t="str">
        <f t="shared" ref="F1528:F1591" si="125">IF(D1528="",E1528,D1528)</f>
        <v>Marche à pied (exclusivement sur tout le trajet)</v>
      </c>
      <c r="G1528" s="587">
        <f t="shared" ref="G1528:G1591" si="126">IF(F1528="Métro",1,IF(F1528="Tramway",1,IF(F1528="Vélo'v",7,IF(F1528="Marche à pied (exclusivement sur tout le trajet)",7,IF(F1528="Vélo personnel (y compris vélo à assistance électrique)",7,IF(F1528="Trottinette, roller, skateboard,…",7,IF(F1528="Marche à pied au-delà de 5 minutes",7,IF(F1528="Voiture (seul(e))",3,IF(F1528="Bus",2,IF(F1528="Trottinette, roller, skateboard au-delà de 5 minutes",7,IF(F1528="Covoiturage (passager(ère))",4,IF(F1528="Trottinette, roller, skateboard,...",7,IF(F1528="Vélo’v",7,IF(F1528="Train (TER,TGV,...)",6,IF(F1528="Deux roues motorisées (moto, scooter, mobylette,…)",5,IF(F1528="Covoiturage (conducteur(trice))",4,IF(F1528="Train (TER,..)",6,0)))))))))))))))))</f>
        <v>7</v>
      </c>
      <c r="H1528" s="587"/>
      <c r="I1528" s="587">
        <v>2</v>
      </c>
      <c r="J1528" s="587">
        <f t="shared" ref="J1528:J1559" si="127">IF(G1528=1,$C$6*($I$28*$K$6)/$J$6,IF(G1528=2,$C$7*($I$28*$K$7)/$J$7,IF(G1528=3,$C$8*$I$28*$K$8/$J$8,IF(G1528=4,$C$9*$I$28*$K$9/$J$9,IF(G1528=5,$C$10*$I$28*$K$10/$J$10,IF(G1528=6,$C$11*$K$11*$I$28/$J$11,0))))))</f>
        <v>0</v>
      </c>
      <c r="K1528" s="587"/>
      <c r="L1528" s="587"/>
      <c r="M1528" s="587">
        <f t="shared" si="123"/>
        <v>7</v>
      </c>
      <c r="N1528" s="587">
        <f t="shared" si="123"/>
        <v>0</v>
      </c>
      <c r="O1528" s="587">
        <f t="shared" si="123"/>
        <v>0</v>
      </c>
      <c r="P1528" s="587">
        <f t="shared" si="122"/>
        <v>0</v>
      </c>
    </row>
    <row r="1529" spans="2:16">
      <c r="B1529" s="587" t="s">
        <v>868</v>
      </c>
      <c r="C1529" s="587" t="s">
        <v>869</v>
      </c>
      <c r="D1529" s="587" t="s">
        <v>871</v>
      </c>
      <c r="E1529" s="587"/>
      <c r="F1529" s="587" t="str">
        <f t="shared" si="125"/>
        <v>Marche à pied (exclusivement sur tout le trajet)</v>
      </c>
      <c r="G1529" s="587">
        <f t="shared" si="126"/>
        <v>7</v>
      </c>
      <c r="H1529" s="587"/>
      <c r="I1529" s="587">
        <v>10</v>
      </c>
      <c r="J1529" s="587">
        <f t="shared" si="127"/>
        <v>0</v>
      </c>
      <c r="K1529" s="587"/>
      <c r="L1529" s="587"/>
      <c r="M1529" s="587">
        <f t="shared" si="123"/>
        <v>7</v>
      </c>
      <c r="N1529" s="587">
        <f t="shared" si="123"/>
        <v>0</v>
      </c>
      <c r="O1529" s="587">
        <f t="shared" si="123"/>
        <v>0</v>
      </c>
      <c r="P1529" s="587">
        <f t="shared" si="122"/>
        <v>0</v>
      </c>
    </row>
    <row r="1530" spans="2:16">
      <c r="B1530" s="587" t="s">
        <v>868</v>
      </c>
      <c r="C1530" s="587" t="s">
        <v>869</v>
      </c>
      <c r="D1530" s="587" t="s">
        <v>848</v>
      </c>
      <c r="E1530" s="587"/>
      <c r="F1530" s="587" t="str">
        <f t="shared" si="125"/>
        <v>Bus</v>
      </c>
      <c r="G1530" s="587">
        <f t="shared" si="126"/>
        <v>2</v>
      </c>
      <c r="H1530" s="587"/>
      <c r="I1530" s="587">
        <v>20</v>
      </c>
      <c r="J1530" s="587">
        <f t="shared" si="127"/>
        <v>1.29</v>
      </c>
      <c r="K1530" s="587"/>
      <c r="L1530" s="587"/>
      <c r="M1530" s="587">
        <f t="shared" si="123"/>
        <v>2</v>
      </c>
      <c r="N1530" s="587">
        <f t="shared" si="123"/>
        <v>0</v>
      </c>
      <c r="O1530" s="587">
        <f t="shared" si="123"/>
        <v>0</v>
      </c>
      <c r="P1530" s="587">
        <f t="shared" si="122"/>
        <v>0</v>
      </c>
    </row>
    <row r="1531" spans="2:16">
      <c r="B1531" s="587" t="s">
        <v>868</v>
      </c>
      <c r="C1531" s="587" t="s">
        <v>875</v>
      </c>
      <c r="D1531" s="587"/>
      <c r="E1531" s="587" t="s">
        <v>879</v>
      </c>
      <c r="F1531" s="587" t="str">
        <f t="shared" si="125"/>
        <v>Voiture (seul(e))</v>
      </c>
      <c r="G1531" s="587">
        <f t="shared" si="126"/>
        <v>3</v>
      </c>
      <c r="H1531" s="587"/>
      <c r="I1531" s="587">
        <v>150</v>
      </c>
      <c r="J1531" s="587">
        <f t="shared" si="127"/>
        <v>2.7600000000000002</v>
      </c>
      <c r="K1531" s="587"/>
      <c r="L1531" s="587"/>
      <c r="M1531" s="587">
        <f t="shared" si="123"/>
        <v>0</v>
      </c>
      <c r="N1531" s="587">
        <f t="shared" si="123"/>
        <v>3</v>
      </c>
      <c r="O1531" s="587">
        <f t="shared" si="123"/>
        <v>0</v>
      </c>
      <c r="P1531" s="587">
        <f t="shared" si="122"/>
        <v>0</v>
      </c>
    </row>
    <row r="1532" spans="2:16">
      <c r="B1532" s="587" t="s">
        <v>868</v>
      </c>
      <c r="C1532" s="587" t="s">
        <v>869</v>
      </c>
      <c r="D1532" s="587" t="s">
        <v>871</v>
      </c>
      <c r="E1532" s="587"/>
      <c r="F1532" s="587" t="str">
        <f t="shared" si="125"/>
        <v>Marche à pied (exclusivement sur tout le trajet)</v>
      </c>
      <c r="G1532" s="587">
        <f t="shared" si="126"/>
        <v>7</v>
      </c>
      <c r="H1532" s="587"/>
      <c r="I1532" s="587">
        <v>10</v>
      </c>
      <c r="J1532" s="587">
        <f t="shared" si="127"/>
        <v>0</v>
      </c>
      <c r="K1532" s="587"/>
      <c r="L1532" s="587"/>
      <c r="M1532" s="587">
        <f t="shared" si="123"/>
        <v>7</v>
      </c>
      <c r="N1532" s="587">
        <f t="shared" si="123"/>
        <v>0</v>
      </c>
      <c r="O1532" s="587">
        <f t="shared" si="123"/>
        <v>0</v>
      </c>
      <c r="P1532" s="587">
        <f t="shared" si="122"/>
        <v>0</v>
      </c>
    </row>
    <row r="1533" spans="2:16">
      <c r="B1533" s="587" t="s">
        <v>868</v>
      </c>
      <c r="C1533" s="587" t="s">
        <v>869</v>
      </c>
      <c r="D1533" s="587" t="s">
        <v>872</v>
      </c>
      <c r="E1533" s="587"/>
      <c r="F1533" s="587" t="str">
        <f t="shared" si="125"/>
        <v>Vélo personnel (y compris vélo à assistance électrique)</v>
      </c>
      <c r="G1533" s="587">
        <f t="shared" si="126"/>
        <v>7</v>
      </c>
      <c r="H1533" s="587"/>
      <c r="I1533" s="587">
        <v>12</v>
      </c>
      <c r="J1533" s="587">
        <f t="shared" si="127"/>
        <v>0</v>
      </c>
      <c r="K1533" s="587"/>
      <c r="L1533" s="587"/>
      <c r="M1533" s="587">
        <f t="shared" si="123"/>
        <v>7</v>
      </c>
      <c r="N1533" s="587">
        <f t="shared" si="123"/>
        <v>0</v>
      </c>
      <c r="O1533" s="587">
        <f t="shared" si="123"/>
        <v>0</v>
      </c>
      <c r="P1533" s="587">
        <f t="shared" si="122"/>
        <v>0</v>
      </c>
    </row>
    <row r="1534" spans="2:16">
      <c r="B1534" s="587" t="s">
        <v>868</v>
      </c>
      <c r="C1534" s="587" t="s">
        <v>869</v>
      </c>
      <c r="D1534" s="587" t="s">
        <v>871</v>
      </c>
      <c r="E1534" s="587"/>
      <c r="F1534" s="587" t="str">
        <f t="shared" si="125"/>
        <v>Marche à pied (exclusivement sur tout le trajet)</v>
      </c>
      <c r="G1534" s="587">
        <f t="shared" si="126"/>
        <v>7</v>
      </c>
      <c r="H1534" s="587"/>
      <c r="I1534" s="587">
        <v>5</v>
      </c>
      <c r="J1534" s="587">
        <f t="shared" si="127"/>
        <v>0</v>
      </c>
      <c r="K1534" s="587"/>
      <c r="L1534" s="587"/>
      <c r="M1534" s="587">
        <f t="shared" si="123"/>
        <v>7</v>
      </c>
      <c r="N1534" s="587">
        <f t="shared" si="123"/>
        <v>0</v>
      </c>
      <c r="O1534" s="587">
        <f t="shared" si="123"/>
        <v>0</v>
      </c>
      <c r="P1534" s="587">
        <f t="shared" si="122"/>
        <v>0</v>
      </c>
    </row>
    <row r="1535" spans="2:16">
      <c r="B1535" s="587" t="s">
        <v>868</v>
      </c>
      <c r="C1535" s="587" t="s">
        <v>869</v>
      </c>
      <c r="D1535" s="587" t="s">
        <v>873</v>
      </c>
      <c r="E1535" s="587"/>
      <c r="F1535" s="587" t="str">
        <f t="shared" si="125"/>
        <v>Tramway</v>
      </c>
      <c r="G1535" s="587">
        <f t="shared" si="126"/>
        <v>1</v>
      </c>
      <c r="H1535" s="587"/>
      <c r="I1535" s="587">
        <v>20</v>
      </c>
      <c r="J1535" s="587">
        <f t="shared" si="127"/>
        <v>4.8833333333333326E-2</v>
      </c>
      <c r="K1535" s="587"/>
      <c r="L1535" s="587"/>
      <c r="M1535" s="587">
        <f t="shared" si="123"/>
        <v>1</v>
      </c>
      <c r="N1535" s="587">
        <f t="shared" si="123"/>
        <v>0</v>
      </c>
      <c r="O1535" s="587">
        <f t="shared" si="123"/>
        <v>0</v>
      </c>
      <c r="P1535" s="587">
        <f t="shared" si="122"/>
        <v>0</v>
      </c>
    </row>
    <row r="1536" spans="2:16">
      <c r="B1536" s="587" t="s">
        <v>868</v>
      </c>
      <c r="C1536" s="587" t="s">
        <v>882</v>
      </c>
      <c r="D1536" s="587"/>
      <c r="E1536" s="587" t="s">
        <v>879</v>
      </c>
      <c r="F1536" s="587" t="str">
        <f t="shared" si="125"/>
        <v>Voiture (seul(e))</v>
      </c>
      <c r="G1536" s="587">
        <f t="shared" si="126"/>
        <v>3</v>
      </c>
      <c r="H1536" s="587"/>
      <c r="I1536" s="587">
        <v>60</v>
      </c>
      <c r="J1536" s="587">
        <f t="shared" si="127"/>
        <v>2.7600000000000002</v>
      </c>
      <c r="K1536" s="587"/>
      <c r="L1536" s="587"/>
      <c r="M1536" s="587">
        <f t="shared" si="123"/>
        <v>0</v>
      </c>
      <c r="N1536" s="587">
        <f t="shared" si="123"/>
        <v>0</v>
      </c>
      <c r="O1536" s="587">
        <f t="shared" si="123"/>
        <v>3</v>
      </c>
      <c r="P1536" s="587">
        <f t="shared" si="122"/>
        <v>0</v>
      </c>
    </row>
    <row r="1537" spans="2:16">
      <c r="B1537" s="587" t="s">
        <v>868</v>
      </c>
      <c r="C1537" s="587" t="s">
        <v>869</v>
      </c>
      <c r="D1537" s="587" t="s">
        <v>872</v>
      </c>
      <c r="E1537" s="587"/>
      <c r="F1537" s="587" t="str">
        <f t="shared" si="125"/>
        <v>Vélo personnel (y compris vélo à assistance électrique)</v>
      </c>
      <c r="G1537" s="587">
        <f t="shared" si="126"/>
        <v>7</v>
      </c>
      <c r="H1537" s="587"/>
      <c r="I1537" s="587">
        <v>5</v>
      </c>
      <c r="J1537" s="587">
        <f t="shared" si="127"/>
        <v>0</v>
      </c>
      <c r="K1537" s="587"/>
      <c r="L1537" s="587"/>
      <c r="M1537" s="587">
        <f t="shared" si="123"/>
        <v>7</v>
      </c>
      <c r="N1537" s="587">
        <f t="shared" si="123"/>
        <v>0</v>
      </c>
      <c r="O1537" s="587">
        <f t="shared" si="123"/>
        <v>0</v>
      </c>
      <c r="P1537" s="587">
        <f t="shared" si="122"/>
        <v>0</v>
      </c>
    </row>
    <row r="1538" spans="2:16">
      <c r="B1538" s="587" t="s">
        <v>868</v>
      </c>
      <c r="C1538" s="587" t="s">
        <v>875</v>
      </c>
      <c r="D1538" s="587" t="s">
        <v>885</v>
      </c>
      <c r="E1538" s="587"/>
      <c r="F1538" s="587" t="str">
        <f t="shared" si="125"/>
        <v>Covoiturage (conducteur(trice))</v>
      </c>
      <c r="G1538" s="587">
        <f t="shared" si="126"/>
        <v>4</v>
      </c>
      <c r="H1538" s="587"/>
      <c r="I1538" s="587">
        <v>105</v>
      </c>
      <c r="J1538" s="587">
        <f t="shared" si="127"/>
        <v>0.69000000000000006</v>
      </c>
      <c r="K1538" s="587"/>
      <c r="L1538" s="587"/>
      <c r="M1538" s="587">
        <f t="shared" si="123"/>
        <v>0</v>
      </c>
      <c r="N1538" s="587">
        <f t="shared" si="123"/>
        <v>4</v>
      </c>
      <c r="O1538" s="587">
        <f t="shared" si="123"/>
        <v>0</v>
      </c>
      <c r="P1538" s="587">
        <f t="shared" si="122"/>
        <v>0</v>
      </c>
    </row>
    <row r="1539" spans="2:16">
      <c r="B1539" s="587" t="s">
        <v>868</v>
      </c>
      <c r="C1539" s="587" t="s">
        <v>869</v>
      </c>
      <c r="D1539" s="587" t="s">
        <v>871</v>
      </c>
      <c r="E1539" s="587"/>
      <c r="F1539" s="587" t="str">
        <f t="shared" si="125"/>
        <v>Marche à pied (exclusivement sur tout le trajet)</v>
      </c>
      <c r="G1539" s="587">
        <f t="shared" si="126"/>
        <v>7</v>
      </c>
      <c r="H1539" s="587"/>
      <c r="I1539" s="587">
        <v>2</v>
      </c>
      <c r="J1539" s="587">
        <f t="shared" si="127"/>
        <v>0</v>
      </c>
      <c r="K1539" s="587"/>
      <c r="L1539" s="587"/>
      <c r="M1539" s="587">
        <f t="shared" si="123"/>
        <v>7</v>
      </c>
      <c r="N1539" s="587">
        <f t="shared" si="123"/>
        <v>0</v>
      </c>
      <c r="O1539" s="587">
        <f t="shared" si="123"/>
        <v>0</v>
      </c>
      <c r="P1539" s="587">
        <f t="shared" si="122"/>
        <v>0</v>
      </c>
    </row>
    <row r="1540" spans="2:16">
      <c r="B1540" s="587" t="s">
        <v>868</v>
      </c>
      <c r="C1540" s="587" t="s">
        <v>875</v>
      </c>
      <c r="D1540" s="587" t="s">
        <v>879</v>
      </c>
      <c r="E1540" s="587"/>
      <c r="F1540" s="587" t="str">
        <f t="shared" si="125"/>
        <v>Voiture (seul(e))</v>
      </c>
      <c r="G1540" s="587">
        <f t="shared" si="126"/>
        <v>3</v>
      </c>
      <c r="H1540" s="587"/>
      <c r="I1540" s="587">
        <v>20</v>
      </c>
      <c r="J1540" s="587">
        <f t="shared" si="127"/>
        <v>2.7600000000000002</v>
      </c>
      <c r="K1540" s="587"/>
      <c r="L1540" s="587"/>
      <c r="M1540" s="587">
        <f t="shared" si="123"/>
        <v>0</v>
      </c>
      <c r="N1540" s="587">
        <f t="shared" si="123"/>
        <v>3</v>
      </c>
      <c r="O1540" s="587">
        <f t="shared" si="123"/>
        <v>0</v>
      </c>
      <c r="P1540" s="587">
        <f t="shared" si="122"/>
        <v>0</v>
      </c>
    </row>
    <row r="1541" spans="2:16">
      <c r="B1541" s="587" t="s">
        <v>868</v>
      </c>
      <c r="C1541" s="587" t="s">
        <v>875</v>
      </c>
      <c r="D1541" s="587" t="s">
        <v>879</v>
      </c>
      <c r="E1541" s="587"/>
      <c r="F1541" s="587" t="str">
        <f t="shared" si="125"/>
        <v>Voiture (seul(e))</v>
      </c>
      <c r="G1541" s="587">
        <f t="shared" si="126"/>
        <v>3</v>
      </c>
      <c r="H1541" s="587"/>
      <c r="I1541" s="587">
        <v>5</v>
      </c>
      <c r="J1541" s="587">
        <f t="shared" si="127"/>
        <v>2.7600000000000002</v>
      </c>
      <c r="K1541" s="587"/>
      <c r="L1541" s="587"/>
      <c r="M1541" s="587">
        <f t="shared" si="123"/>
        <v>0</v>
      </c>
      <c r="N1541" s="587">
        <f t="shared" si="123"/>
        <v>3</v>
      </c>
      <c r="O1541" s="587">
        <f t="shared" si="123"/>
        <v>0</v>
      </c>
      <c r="P1541" s="587">
        <f t="shared" si="122"/>
        <v>0</v>
      </c>
    </row>
    <row r="1542" spans="2:16">
      <c r="B1542" s="587" t="s">
        <v>868</v>
      </c>
      <c r="C1542" s="587" t="s">
        <v>875</v>
      </c>
      <c r="D1542" s="587"/>
      <c r="E1542" s="587" t="s">
        <v>878</v>
      </c>
      <c r="F1542" s="587" t="str">
        <f t="shared" si="125"/>
        <v>Marche à pied au-delà de 5 minutes</v>
      </c>
      <c r="G1542" s="587">
        <f t="shared" si="126"/>
        <v>7</v>
      </c>
      <c r="H1542" s="587"/>
      <c r="I1542" s="587"/>
      <c r="J1542" s="587">
        <f t="shared" si="127"/>
        <v>0</v>
      </c>
      <c r="K1542" s="587"/>
      <c r="L1542" s="587"/>
      <c r="M1542" s="587">
        <f t="shared" si="123"/>
        <v>0</v>
      </c>
      <c r="N1542" s="587">
        <f t="shared" si="123"/>
        <v>7</v>
      </c>
      <c r="O1542" s="587">
        <f t="shared" si="123"/>
        <v>0</v>
      </c>
      <c r="P1542" s="587">
        <f t="shared" si="122"/>
        <v>0</v>
      </c>
    </row>
    <row r="1543" spans="2:16">
      <c r="B1543" s="587" t="s">
        <v>868</v>
      </c>
      <c r="C1543" s="587" t="s">
        <v>875</v>
      </c>
      <c r="D1543" s="587" t="s">
        <v>879</v>
      </c>
      <c r="E1543" s="587"/>
      <c r="F1543" s="587" t="str">
        <f t="shared" si="125"/>
        <v>Voiture (seul(e))</v>
      </c>
      <c r="G1543" s="587">
        <f t="shared" si="126"/>
        <v>3</v>
      </c>
      <c r="H1543" s="587"/>
      <c r="I1543" s="587">
        <v>25</v>
      </c>
      <c r="J1543" s="587">
        <f t="shared" si="127"/>
        <v>2.7600000000000002</v>
      </c>
      <c r="K1543" s="587"/>
      <c r="L1543" s="587"/>
      <c r="M1543" s="587">
        <f t="shared" si="123"/>
        <v>0</v>
      </c>
      <c r="N1543" s="587">
        <f t="shared" si="123"/>
        <v>3</v>
      </c>
      <c r="O1543" s="587">
        <f t="shared" si="123"/>
        <v>0</v>
      </c>
      <c r="P1543" s="587">
        <f t="shared" si="122"/>
        <v>0</v>
      </c>
    </row>
    <row r="1544" spans="2:16">
      <c r="B1544" s="587" t="s">
        <v>868</v>
      </c>
      <c r="C1544" s="587" t="s">
        <v>869</v>
      </c>
      <c r="D1544" s="587"/>
      <c r="E1544" s="587" t="s">
        <v>883</v>
      </c>
      <c r="F1544" s="587" t="str">
        <f t="shared" si="125"/>
        <v>Covoiturage (passager(ère))</v>
      </c>
      <c r="G1544" s="587">
        <f t="shared" si="126"/>
        <v>4</v>
      </c>
      <c r="H1544" s="587"/>
      <c r="I1544" s="587">
        <v>80</v>
      </c>
      <c r="J1544" s="587">
        <f t="shared" si="127"/>
        <v>0.69000000000000006</v>
      </c>
      <c r="K1544" s="587"/>
      <c r="L1544" s="587"/>
      <c r="M1544" s="587">
        <f t="shared" si="123"/>
        <v>4</v>
      </c>
      <c r="N1544" s="587">
        <f t="shared" si="123"/>
        <v>0</v>
      </c>
      <c r="O1544" s="587">
        <f t="shared" si="123"/>
        <v>0</v>
      </c>
      <c r="P1544" s="587">
        <f t="shared" si="122"/>
        <v>0</v>
      </c>
    </row>
    <row r="1545" spans="2:16">
      <c r="B1545" s="587" t="s">
        <v>868</v>
      </c>
      <c r="C1545" s="587" t="s">
        <v>869</v>
      </c>
      <c r="D1545" s="587"/>
      <c r="E1545" s="587" t="s">
        <v>870</v>
      </c>
      <c r="F1545" s="587" t="str">
        <f t="shared" si="125"/>
        <v>Métro</v>
      </c>
      <c r="G1545" s="587">
        <f t="shared" si="126"/>
        <v>1</v>
      </c>
      <c r="H1545" s="587"/>
      <c r="I1545" s="587">
        <v>20</v>
      </c>
      <c r="J1545" s="587">
        <f t="shared" si="127"/>
        <v>4.8833333333333326E-2</v>
      </c>
      <c r="K1545" s="587"/>
      <c r="L1545" s="587"/>
      <c r="M1545" s="587">
        <f t="shared" si="123"/>
        <v>1</v>
      </c>
      <c r="N1545" s="587">
        <f t="shared" si="123"/>
        <v>0</v>
      </c>
      <c r="O1545" s="587">
        <f t="shared" si="123"/>
        <v>0</v>
      </c>
      <c r="P1545" s="587">
        <f t="shared" si="122"/>
        <v>0</v>
      </c>
    </row>
    <row r="1546" spans="2:16">
      <c r="B1546" s="587" t="s">
        <v>868</v>
      </c>
      <c r="C1546" s="587" t="s">
        <v>869</v>
      </c>
      <c r="D1546" s="587" t="s">
        <v>871</v>
      </c>
      <c r="E1546" s="587"/>
      <c r="F1546" s="587" t="str">
        <f t="shared" si="125"/>
        <v>Marche à pied (exclusivement sur tout le trajet)</v>
      </c>
      <c r="G1546" s="587">
        <f t="shared" si="126"/>
        <v>7</v>
      </c>
      <c r="H1546" s="587"/>
      <c r="I1546" s="587">
        <v>5</v>
      </c>
      <c r="J1546" s="587">
        <f t="shared" si="127"/>
        <v>0</v>
      </c>
      <c r="K1546" s="587"/>
      <c r="L1546" s="587"/>
      <c r="M1546" s="587">
        <f t="shared" si="123"/>
        <v>7</v>
      </c>
      <c r="N1546" s="587">
        <f t="shared" si="123"/>
        <v>0</v>
      </c>
      <c r="O1546" s="587">
        <f t="shared" si="123"/>
        <v>0</v>
      </c>
      <c r="P1546" s="587">
        <f t="shared" si="122"/>
        <v>0</v>
      </c>
    </row>
    <row r="1547" spans="2:16">
      <c r="B1547" s="587" t="s">
        <v>868</v>
      </c>
      <c r="C1547" s="587" t="s">
        <v>869</v>
      </c>
      <c r="D1547" s="587" t="s">
        <v>871</v>
      </c>
      <c r="E1547" s="587"/>
      <c r="F1547" s="587" t="str">
        <f t="shared" si="125"/>
        <v>Marche à pied (exclusivement sur tout le trajet)</v>
      </c>
      <c r="G1547" s="587">
        <f t="shared" si="126"/>
        <v>7</v>
      </c>
      <c r="H1547" s="587"/>
      <c r="I1547" s="587">
        <v>12</v>
      </c>
      <c r="J1547" s="587">
        <f t="shared" si="127"/>
        <v>0</v>
      </c>
      <c r="K1547" s="587"/>
      <c r="L1547" s="587"/>
      <c r="M1547" s="587">
        <f t="shared" si="123"/>
        <v>7</v>
      </c>
      <c r="N1547" s="587">
        <f t="shared" si="123"/>
        <v>0</v>
      </c>
      <c r="O1547" s="587">
        <f t="shared" si="123"/>
        <v>0</v>
      </c>
      <c r="P1547" s="587">
        <f t="shared" si="122"/>
        <v>0</v>
      </c>
    </row>
    <row r="1548" spans="2:16">
      <c r="B1548" s="587" t="s">
        <v>868</v>
      </c>
      <c r="C1548" s="587" t="s">
        <v>869</v>
      </c>
      <c r="D1548" s="587"/>
      <c r="E1548" s="587" t="s">
        <v>878</v>
      </c>
      <c r="F1548" s="587" t="str">
        <f t="shared" si="125"/>
        <v>Marche à pied au-delà de 5 minutes</v>
      </c>
      <c r="G1548" s="587">
        <f t="shared" si="126"/>
        <v>7</v>
      </c>
      <c r="H1548" s="587"/>
      <c r="I1548" s="587">
        <v>15</v>
      </c>
      <c r="J1548" s="587">
        <f t="shared" si="127"/>
        <v>0</v>
      </c>
      <c r="K1548" s="587"/>
      <c r="L1548" s="587"/>
      <c r="M1548" s="587">
        <f t="shared" si="123"/>
        <v>7</v>
      </c>
      <c r="N1548" s="587">
        <f t="shared" si="123"/>
        <v>0</v>
      </c>
      <c r="O1548" s="587">
        <f t="shared" si="123"/>
        <v>0</v>
      </c>
      <c r="P1548" s="587">
        <f t="shared" si="122"/>
        <v>0</v>
      </c>
    </row>
    <row r="1549" spans="2:16">
      <c r="B1549" s="587" t="s">
        <v>868</v>
      </c>
      <c r="C1549" s="587" t="s">
        <v>869</v>
      </c>
      <c r="D1549" s="587" t="s">
        <v>879</v>
      </c>
      <c r="E1549" s="587"/>
      <c r="F1549" s="587" t="str">
        <f t="shared" si="125"/>
        <v>Voiture (seul(e))</v>
      </c>
      <c r="G1549" s="587">
        <f t="shared" si="126"/>
        <v>3</v>
      </c>
      <c r="H1549" s="587"/>
      <c r="I1549" s="587">
        <v>120</v>
      </c>
      <c r="J1549" s="587">
        <f t="shared" si="127"/>
        <v>2.7600000000000002</v>
      </c>
      <c r="K1549" s="587"/>
      <c r="L1549" s="587"/>
      <c r="M1549" s="587">
        <f t="shared" si="123"/>
        <v>3</v>
      </c>
      <c r="N1549" s="587">
        <f t="shared" si="123"/>
        <v>0</v>
      </c>
      <c r="O1549" s="587">
        <f t="shared" si="123"/>
        <v>0</v>
      </c>
      <c r="P1549" s="587">
        <f t="shared" si="122"/>
        <v>0</v>
      </c>
    </row>
    <row r="1550" spans="2:16">
      <c r="B1550" s="587" t="s">
        <v>868</v>
      </c>
      <c r="C1550" s="587" t="s">
        <v>869</v>
      </c>
      <c r="D1550" s="587" t="s">
        <v>871</v>
      </c>
      <c r="E1550" s="587"/>
      <c r="F1550" s="587" t="str">
        <f t="shared" si="125"/>
        <v>Marche à pied (exclusivement sur tout le trajet)</v>
      </c>
      <c r="G1550" s="587">
        <f t="shared" si="126"/>
        <v>7</v>
      </c>
      <c r="H1550" s="587"/>
      <c r="I1550" s="587">
        <v>15</v>
      </c>
      <c r="J1550" s="587">
        <f t="shared" si="127"/>
        <v>0</v>
      </c>
      <c r="K1550" s="587"/>
      <c r="L1550" s="587"/>
      <c r="M1550" s="587">
        <f t="shared" si="123"/>
        <v>7</v>
      </c>
      <c r="N1550" s="587">
        <f t="shared" si="123"/>
        <v>0</v>
      </c>
      <c r="O1550" s="587">
        <f t="shared" si="123"/>
        <v>0</v>
      </c>
      <c r="P1550" s="587">
        <f t="shared" si="122"/>
        <v>0</v>
      </c>
    </row>
    <row r="1551" spans="2:16">
      <c r="B1551" s="587" t="s">
        <v>868</v>
      </c>
      <c r="C1551" s="587" t="s">
        <v>869</v>
      </c>
      <c r="D1551" s="587" t="s">
        <v>871</v>
      </c>
      <c r="E1551" s="587"/>
      <c r="F1551" s="587" t="str">
        <f t="shared" si="125"/>
        <v>Marche à pied (exclusivement sur tout le trajet)</v>
      </c>
      <c r="G1551" s="587">
        <f t="shared" si="126"/>
        <v>7</v>
      </c>
      <c r="H1551" s="587"/>
      <c r="I1551" s="587">
        <v>10</v>
      </c>
      <c r="J1551" s="587">
        <f t="shared" si="127"/>
        <v>0</v>
      </c>
      <c r="K1551" s="587"/>
      <c r="L1551" s="587"/>
      <c r="M1551" s="587">
        <f t="shared" si="123"/>
        <v>7</v>
      </c>
      <c r="N1551" s="587">
        <f t="shared" si="123"/>
        <v>0</v>
      </c>
      <c r="O1551" s="587">
        <f t="shared" si="123"/>
        <v>0</v>
      </c>
      <c r="P1551" s="587">
        <f t="shared" si="122"/>
        <v>0</v>
      </c>
    </row>
    <row r="1552" spans="2:16">
      <c r="B1552" s="587" t="s">
        <v>868</v>
      </c>
      <c r="C1552" s="587" t="s">
        <v>869</v>
      </c>
      <c r="D1552" s="587" t="s">
        <v>871</v>
      </c>
      <c r="E1552" s="587"/>
      <c r="F1552" s="587" t="str">
        <f t="shared" si="125"/>
        <v>Marche à pied (exclusivement sur tout le trajet)</v>
      </c>
      <c r="G1552" s="587">
        <f t="shared" si="126"/>
        <v>7</v>
      </c>
      <c r="H1552" s="587"/>
      <c r="I1552" s="587">
        <v>10</v>
      </c>
      <c r="J1552" s="587">
        <f t="shared" si="127"/>
        <v>0</v>
      </c>
      <c r="K1552" s="587"/>
      <c r="L1552" s="587"/>
      <c r="M1552" s="587">
        <f t="shared" si="123"/>
        <v>7</v>
      </c>
      <c r="N1552" s="587">
        <f t="shared" si="123"/>
        <v>0</v>
      </c>
      <c r="O1552" s="587">
        <f t="shared" si="123"/>
        <v>0</v>
      </c>
      <c r="P1552" s="587">
        <f t="shared" si="122"/>
        <v>0</v>
      </c>
    </row>
    <row r="1553" spans="2:16">
      <c r="B1553" s="587" t="s">
        <v>868</v>
      </c>
      <c r="C1553" s="587" t="s">
        <v>875</v>
      </c>
      <c r="D1553" s="587" t="s">
        <v>872</v>
      </c>
      <c r="E1553" s="587"/>
      <c r="F1553" s="587" t="str">
        <f t="shared" si="125"/>
        <v>Vélo personnel (y compris vélo à assistance électrique)</v>
      </c>
      <c r="G1553" s="587">
        <f t="shared" si="126"/>
        <v>7</v>
      </c>
      <c r="H1553" s="587"/>
      <c r="I1553" s="587">
        <v>25</v>
      </c>
      <c r="J1553" s="587">
        <f t="shared" si="127"/>
        <v>0</v>
      </c>
      <c r="K1553" s="587"/>
      <c r="L1553" s="587"/>
      <c r="M1553" s="587">
        <f t="shared" si="123"/>
        <v>0</v>
      </c>
      <c r="N1553" s="587">
        <f t="shared" si="123"/>
        <v>7</v>
      </c>
      <c r="O1553" s="587">
        <f t="shared" si="123"/>
        <v>0</v>
      </c>
      <c r="P1553" s="587">
        <f t="shared" si="122"/>
        <v>0</v>
      </c>
    </row>
    <row r="1554" spans="2:16">
      <c r="B1554" s="587" t="s">
        <v>868</v>
      </c>
      <c r="C1554" s="587" t="s">
        <v>882</v>
      </c>
      <c r="D1554" s="587"/>
      <c r="E1554" s="587" t="s">
        <v>886</v>
      </c>
      <c r="F1554" s="587" t="str">
        <f t="shared" si="125"/>
        <v>Train (TER,..)</v>
      </c>
      <c r="G1554" s="587">
        <f t="shared" si="126"/>
        <v>6</v>
      </c>
      <c r="H1554" s="587"/>
      <c r="I1554" s="587">
        <v>60</v>
      </c>
      <c r="J1554" s="587">
        <f t="shared" si="127"/>
        <v>0.34600000000000003</v>
      </c>
      <c r="K1554" s="587"/>
      <c r="L1554" s="587"/>
      <c r="M1554" s="587">
        <f t="shared" si="123"/>
        <v>0</v>
      </c>
      <c r="N1554" s="587">
        <f t="shared" si="123"/>
        <v>0</v>
      </c>
      <c r="O1554" s="587">
        <f t="shared" si="123"/>
        <v>6</v>
      </c>
      <c r="P1554" s="587">
        <f t="shared" si="122"/>
        <v>0</v>
      </c>
    </row>
    <row r="1555" spans="2:16">
      <c r="B1555" s="587" t="s">
        <v>868</v>
      </c>
      <c r="C1555" s="587" t="s">
        <v>869</v>
      </c>
      <c r="D1555" s="587" t="s">
        <v>871</v>
      </c>
      <c r="E1555" s="587"/>
      <c r="F1555" s="587" t="str">
        <f t="shared" si="125"/>
        <v>Marche à pied (exclusivement sur tout le trajet)</v>
      </c>
      <c r="G1555" s="587">
        <f t="shared" si="126"/>
        <v>7</v>
      </c>
      <c r="H1555" s="587"/>
      <c r="I1555" s="587">
        <v>5</v>
      </c>
      <c r="J1555" s="587">
        <f t="shared" si="127"/>
        <v>0</v>
      </c>
      <c r="K1555" s="587"/>
      <c r="L1555" s="587"/>
      <c r="M1555" s="587">
        <f t="shared" si="123"/>
        <v>7</v>
      </c>
      <c r="N1555" s="587">
        <f t="shared" si="123"/>
        <v>0</v>
      </c>
      <c r="O1555" s="587">
        <f t="shared" si="123"/>
        <v>0</v>
      </c>
      <c r="P1555" s="587">
        <f t="shared" si="122"/>
        <v>0</v>
      </c>
    </row>
    <row r="1556" spans="2:16">
      <c r="B1556" s="587" t="s">
        <v>868</v>
      </c>
      <c r="C1556" s="587" t="s">
        <v>882</v>
      </c>
      <c r="D1556" s="587" t="s">
        <v>879</v>
      </c>
      <c r="E1556" s="587"/>
      <c r="F1556" s="587" t="str">
        <f t="shared" si="125"/>
        <v>Voiture (seul(e))</v>
      </c>
      <c r="G1556" s="587">
        <f t="shared" si="126"/>
        <v>3</v>
      </c>
      <c r="H1556" s="587"/>
      <c r="I1556" s="587">
        <v>30</v>
      </c>
      <c r="J1556" s="587">
        <f t="shared" si="127"/>
        <v>2.7600000000000002</v>
      </c>
      <c r="K1556" s="587"/>
      <c r="L1556" s="587"/>
      <c r="M1556" s="587">
        <f t="shared" si="123"/>
        <v>0</v>
      </c>
      <c r="N1556" s="587">
        <f t="shared" si="123"/>
        <v>0</v>
      </c>
      <c r="O1556" s="587">
        <f t="shared" si="123"/>
        <v>3</v>
      </c>
      <c r="P1556" s="587">
        <f t="shared" si="122"/>
        <v>0</v>
      </c>
    </row>
    <row r="1557" spans="2:16">
      <c r="B1557" s="587" t="s">
        <v>868</v>
      </c>
      <c r="C1557" s="587" t="s">
        <v>875</v>
      </c>
      <c r="D1557" s="587" t="s">
        <v>871</v>
      </c>
      <c r="E1557" s="587"/>
      <c r="F1557" s="587" t="str">
        <f t="shared" si="125"/>
        <v>Marche à pied (exclusivement sur tout le trajet)</v>
      </c>
      <c r="G1557" s="587">
        <f t="shared" si="126"/>
        <v>7</v>
      </c>
      <c r="H1557" s="587"/>
      <c r="I1557" s="587">
        <v>22</v>
      </c>
      <c r="J1557" s="587">
        <f t="shared" si="127"/>
        <v>0</v>
      </c>
      <c r="K1557" s="587"/>
      <c r="L1557" s="587"/>
      <c r="M1557" s="587">
        <f t="shared" si="123"/>
        <v>0</v>
      </c>
      <c r="N1557" s="587">
        <f t="shared" si="123"/>
        <v>7</v>
      </c>
      <c r="O1557" s="587">
        <f t="shared" si="123"/>
        <v>0</v>
      </c>
      <c r="P1557" s="587">
        <f t="shared" si="122"/>
        <v>0</v>
      </c>
    </row>
    <row r="1558" spans="2:16">
      <c r="B1558" s="587" t="s">
        <v>868</v>
      </c>
      <c r="C1558" s="587" t="s">
        <v>869</v>
      </c>
      <c r="D1558" s="587" t="s">
        <v>876</v>
      </c>
      <c r="E1558" s="587"/>
      <c r="F1558" s="587" t="str">
        <f t="shared" si="125"/>
        <v>Trottinette, roller, skateboard,...</v>
      </c>
      <c r="G1558" s="587">
        <f t="shared" si="126"/>
        <v>7</v>
      </c>
      <c r="H1558" s="587"/>
      <c r="I1558" s="587">
        <v>7</v>
      </c>
      <c r="J1558" s="587">
        <f t="shared" si="127"/>
        <v>0</v>
      </c>
      <c r="K1558" s="587"/>
      <c r="L1558" s="587"/>
      <c r="M1558" s="587">
        <f t="shared" si="123"/>
        <v>7</v>
      </c>
      <c r="N1558" s="587">
        <f t="shared" si="123"/>
        <v>0</v>
      </c>
      <c r="O1558" s="587">
        <f t="shared" si="123"/>
        <v>0</v>
      </c>
      <c r="P1558" s="587">
        <f t="shared" si="122"/>
        <v>0</v>
      </c>
    </row>
    <row r="1559" spans="2:16">
      <c r="B1559" s="587" t="s">
        <v>868</v>
      </c>
      <c r="C1559" s="587" t="s">
        <v>869</v>
      </c>
      <c r="D1559" s="587" t="s">
        <v>871</v>
      </c>
      <c r="E1559" s="587"/>
      <c r="F1559" s="587" t="str">
        <f t="shared" si="125"/>
        <v>Marche à pied (exclusivement sur tout le trajet)</v>
      </c>
      <c r="G1559" s="587">
        <f t="shared" si="126"/>
        <v>7</v>
      </c>
      <c r="H1559" s="587"/>
      <c r="I1559" s="587">
        <v>5</v>
      </c>
      <c r="J1559" s="587">
        <f t="shared" si="127"/>
        <v>0</v>
      </c>
      <c r="K1559" s="587"/>
      <c r="L1559" s="587"/>
      <c r="M1559" s="587">
        <f t="shared" si="123"/>
        <v>7</v>
      </c>
      <c r="N1559" s="587">
        <f t="shared" si="123"/>
        <v>0</v>
      </c>
      <c r="O1559" s="587">
        <f t="shared" si="123"/>
        <v>0</v>
      </c>
      <c r="P1559" s="587">
        <f t="shared" si="122"/>
        <v>0</v>
      </c>
    </row>
    <row r="1560" spans="2:16">
      <c r="B1560" s="587" t="s">
        <v>868</v>
      </c>
      <c r="C1560" s="587" t="s">
        <v>869</v>
      </c>
      <c r="D1560" s="587" t="s">
        <v>872</v>
      </c>
      <c r="E1560" s="587"/>
      <c r="F1560" s="587" t="str">
        <f t="shared" si="125"/>
        <v>Vélo personnel (y compris vélo à assistance électrique)</v>
      </c>
      <c r="G1560" s="587">
        <f t="shared" si="126"/>
        <v>7</v>
      </c>
      <c r="H1560" s="587"/>
      <c r="I1560" s="587">
        <v>10</v>
      </c>
      <c r="J1560" s="587">
        <f t="shared" ref="J1560:J1591" si="128">IF(G1560=1,$C$6*($I$28*$K$6)/$J$6,IF(G1560=2,$C$7*($I$28*$K$7)/$J$7,IF(G1560=3,$C$8*$I$28*$K$8/$J$8,IF(G1560=4,$C$9*$I$28*$K$9/$J$9,IF(G1560=5,$C$10*$I$28*$K$10/$J$10,IF(G1560=6,$C$11*$K$11*$I$28/$J$11,0))))))</f>
        <v>0</v>
      </c>
      <c r="K1560" s="587"/>
      <c r="L1560" s="587"/>
      <c r="M1560" s="587">
        <f t="shared" si="123"/>
        <v>7</v>
      </c>
      <c r="N1560" s="587">
        <f t="shared" si="123"/>
        <v>0</v>
      </c>
      <c r="O1560" s="587">
        <f t="shared" si="123"/>
        <v>0</v>
      </c>
      <c r="P1560" s="587">
        <f t="shared" si="122"/>
        <v>0</v>
      </c>
    </row>
    <row r="1561" spans="2:16">
      <c r="B1561" s="587" t="s">
        <v>868</v>
      </c>
      <c r="C1561" s="587" t="s">
        <v>869</v>
      </c>
      <c r="D1561" s="587"/>
      <c r="E1561" s="587" t="s">
        <v>873</v>
      </c>
      <c r="F1561" s="587" t="str">
        <f t="shared" si="125"/>
        <v>Tramway</v>
      </c>
      <c r="G1561" s="587">
        <f t="shared" si="126"/>
        <v>1</v>
      </c>
      <c r="H1561" s="587"/>
      <c r="I1561" s="587">
        <v>50</v>
      </c>
      <c r="J1561" s="587">
        <f t="shared" si="128"/>
        <v>4.8833333333333326E-2</v>
      </c>
      <c r="K1561" s="587"/>
      <c r="L1561" s="587"/>
      <c r="M1561" s="587">
        <f t="shared" si="123"/>
        <v>1</v>
      </c>
      <c r="N1561" s="587">
        <f t="shared" si="123"/>
        <v>0</v>
      </c>
      <c r="O1561" s="587">
        <f t="shared" si="123"/>
        <v>0</v>
      </c>
      <c r="P1561" s="587">
        <f t="shared" si="123"/>
        <v>0</v>
      </c>
    </row>
    <row r="1562" spans="2:16">
      <c r="B1562" s="587" t="s">
        <v>868</v>
      </c>
      <c r="C1562" s="587" t="s">
        <v>869</v>
      </c>
      <c r="D1562" s="587" t="s">
        <v>871</v>
      </c>
      <c r="E1562" s="587"/>
      <c r="F1562" s="587" t="str">
        <f t="shared" si="125"/>
        <v>Marche à pied (exclusivement sur tout le trajet)</v>
      </c>
      <c r="G1562" s="587">
        <f t="shared" si="126"/>
        <v>7</v>
      </c>
      <c r="H1562" s="587"/>
      <c r="I1562" s="587">
        <v>2</v>
      </c>
      <c r="J1562" s="587">
        <f t="shared" si="128"/>
        <v>0</v>
      </c>
      <c r="K1562" s="587"/>
      <c r="L1562" s="587"/>
      <c r="M1562" s="587">
        <f t="shared" ref="M1562:P1625" si="129">IF($C1562=M$27,$G1562,0)</f>
        <v>7</v>
      </c>
      <c r="N1562" s="587">
        <f t="shared" si="129"/>
        <v>0</v>
      </c>
      <c r="O1562" s="587">
        <f t="shared" si="129"/>
        <v>0</v>
      </c>
      <c r="P1562" s="587">
        <f t="shared" si="129"/>
        <v>0</v>
      </c>
    </row>
    <row r="1563" spans="2:16">
      <c r="B1563" s="587" t="s">
        <v>868</v>
      </c>
      <c r="C1563" s="587" t="s">
        <v>869</v>
      </c>
      <c r="D1563" s="587" t="s">
        <v>879</v>
      </c>
      <c r="E1563" s="587"/>
      <c r="F1563" s="587" t="str">
        <f t="shared" si="125"/>
        <v>Voiture (seul(e))</v>
      </c>
      <c r="G1563" s="587">
        <f t="shared" si="126"/>
        <v>3</v>
      </c>
      <c r="H1563" s="587"/>
      <c r="I1563" s="587">
        <v>65</v>
      </c>
      <c r="J1563" s="587">
        <f t="shared" si="128"/>
        <v>2.7600000000000002</v>
      </c>
      <c r="K1563" s="587"/>
      <c r="L1563" s="587"/>
      <c r="M1563" s="587">
        <f t="shared" si="129"/>
        <v>3</v>
      </c>
      <c r="N1563" s="587">
        <f t="shared" si="129"/>
        <v>0</v>
      </c>
      <c r="O1563" s="587">
        <f t="shared" si="129"/>
        <v>0</v>
      </c>
      <c r="P1563" s="587">
        <f t="shared" si="129"/>
        <v>0</v>
      </c>
    </row>
    <row r="1564" spans="2:16">
      <c r="B1564" s="587" t="s">
        <v>868</v>
      </c>
      <c r="C1564" s="587" t="s">
        <v>869</v>
      </c>
      <c r="D1564" s="587" t="s">
        <v>872</v>
      </c>
      <c r="E1564" s="587"/>
      <c r="F1564" s="587" t="str">
        <f t="shared" si="125"/>
        <v>Vélo personnel (y compris vélo à assistance électrique)</v>
      </c>
      <c r="G1564" s="587">
        <f t="shared" si="126"/>
        <v>7</v>
      </c>
      <c r="H1564" s="587"/>
      <c r="I1564" s="587">
        <v>5</v>
      </c>
      <c r="J1564" s="587">
        <f t="shared" si="128"/>
        <v>0</v>
      </c>
      <c r="K1564" s="587"/>
      <c r="L1564" s="587"/>
      <c r="M1564" s="587">
        <f t="shared" si="129"/>
        <v>7</v>
      </c>
      <c r="N1564" s="587">
        <f t="shared" si="129"/>
        <v>0</v>
      </c>
      <c r="O1564" s="587">
        <f t="shared" si="129"/>
        <v>0</v>
      </c>
      <c r="P1564" s="587">
        <f t="shared" si="129"/>
        <v>0</v>
      </c>
    </row>
    <row r="1565" spans="2:16">
      <c r="B1565" s="587" t="s">
        <v>868</v>
      </c>
      <c r="C1565" s="587" t="s">
        <v>869</v>
      </c>
      <c r="D1565" s="587" t="s">
        <v>872</v>
      </c>
      <c r="E1565" s="587"/>
      <c r="F1565" s="587" t="str">
        <f t="shared" si="125"/>
        <v>Vélo personnel (y compris vélo à assistance électrique)</v>
      </c>
      <c r="G1565" s="587">
        <f t="shared" si="126"/>
        <v>7</v>
      </c>
      <c r="H1565" s="587"/>
      <c r="I1565" s="587">
        <v>15</v>
      </c>
      <c r="J1565" s="587">
        <f t="shared" si="128"/>
        <v>0</v>
      </c>
      <c r="K1565" s="587"/>
      <c r="L1565" s="587"/>
      <c r="M1565" s="587">
        <f t="shared" si="129"/>
        <v>7</v>
      </c>
      <c r="N1565" s="587">
        <f t="shared" si="129"/>
        <v>0</v>
      </c>
      <c r="O1565" s="587">
        <f t="shared" si="129"/>
        <v>0</v>
      </c>
      <c r="P1565" s="587">
        <f t="shared" si="129"/>
        <v>0</v>
      </c>
    </row>
    <row r="1566" spans="2:16">
      <c r="B1566" s="587" t="s">
        <v>868</v>
      </c>
      <c r="C1566" s="587" t="s">
        <v>875</v>
      </c>
      <c r="D1566" s="587" t="s">
        <v>872</v>
      </c>
      <c r="E1566" s="587"/>
      <c r="F1566" s="587" t="str">
        <f t="shared" si="125"/>
        <v>Vélo personnel (y compris vélo à assistance électrique)</v>
      </c>
      <c r="G1566" s="587">
        <f t="shared" si="126"/>
        <v>7</v>
      </c>
      <c r="H1566" s="587"/>
      <c r="I1566" s="587">
        <v>15</v>
      </c>
      <c r="J1566" s="587">
        <f t="shared" si="128"/>
        <v>0</v>
      </c>
      <c r="K1566" s="587"/>
      <c r="L1566" s="587"/>
      <c r="M1566" s="587">
        <f t="shared" si="129"/>
        <v>0</v>
      </c>
      <c r="N1566" s="587">
        <f t="shared" si="129"/>
        <v>7</v>
      </c>
      <c r="O1566" s="587">
        <f t="shared" si="129"/>
        <v>0</v>
      </c>
      <c r="P1566" s="587">
        <f t="shared" si="129"/>
        <v>0</v>
      </c>
    </row>
    <row r="1567" spans="2:16">
      <c r="B1567" s="587" t="s">
        <v>868</v>
      </c>
      <c r="C1567" s="587" t="s">
        <v>882</v>
      </c>
      <c r="D1567" s="587"/>
      <c r="E1567" s="587" t="s">
        <v>848</v>
      </c>
      <c r="F1567" s="587" t="str">
        <f t="shared" si="125"/>
        <v>Bus</v>
      </c>
      <c r="G1567" s="587">
        <f t="shared" si="126"/>
        <v>2</v>
      </c>
      <c r="H1567" s="587"/>
      <c r="I1567" s="587">
        <v>45</v>
      </c>
      <c r="J1567" s="587">
        <f t="shared" si="128"/>
        <v>1.29</v>
      </c>
      <c r="K1567" s="587"/>
      <c r="L1567" s="587"/>
      <c r="M1567" s="587">
        <f t="shared" si="129"/>
        <v>0</v>
      </c>
      <c r="N1567" s="587">
        <f t="shared" si="129"/>
        <v>0</v>
      </c>
      <c r="O1567" s="587">
        <f t="shared" si="129"/>
        <v>2</v>
      </c>
      <c r="P1567" s="587">
        <f t="shared" si="129"/>
        <v>0</v>
      </c>
    </row>
    <row r="1568" spans="2:16">
      <c r="B1568" s="587" t="s">
        <v>868</v>
      </c>
      <c r="C1568" s="587" t="s">
        <v>869</v>
      </c>
      <c r="D1568" s="587" t="s">
        <v>871</v>
      </c>
      <c r="E1568" s="587"/>
      <c r="F1568" s="587" t="str">
        <f t="shared" si="125"/>
        <v>Marche à pied (exclusivement sur tout le trajet)</v>
      </c>
      <c r="G1568" s="587">
        <f t="shared" si="126"/>
        <v>7</v>
      </c>
      <c r="H1568" s="587"/>
      <c r="I1568" s="587">
        <v>7</v>
      </c>
      <c r="J1568" s="587">
        <f t="shared" si="128"/>
        <v>0</v>
      </c>
      <c r="K1568" s="587"/>
      <c r="L1568" s="587"/>
      <c r="M1568" s="587">
        <f t="shared" si="129"/>
        <v>7</v>
      </c>
      <c r="N1568" s="587">
        <f t="shared" si="129"/>
        <v>0</v>
      </c>
      <c r="O1568" s="587">
        <f t="shared" si="129"/>
        <v>0</v>
      </c>
      <c r="P1568" s="587">
        <f t="shared" si="129"/>
        <v>0</v>
      </c>
    </row>
    <row r="1569" spans="2:16">
      <c r="B1569" s="587" t="s">
        <v>868</v>
      </c>
      <c r="C1569" s="587" t="s">
        <v>869</v>
      </c>
      <c r="D1569" s="587" t="s">
        <v>871</v>
      </c>
      <c r="E1569" s="587"/>
      <c r="F1569" s="587" t="str">
        <f t="shared" si="125"/>
        <v>Marche à pied (exclusivement sur tout le trajet)</v>
      </c>
      <c r="G1569" s="587">
        <f t="shared" si="126"/>
        <v>7</v>
      </c>
      <c r="H1569" s="587"/>
      <c r="I1569" s="587">
        <v>5</v>
      </c>
      <c r="J1569" s="587">
        <f t="shared" si="128"/>
        <v>0</v>
      </c>
      <c r="K1569" s="587"/>
      <c r="L1569" s="587"/>
      <c r="M1569" s="587">
        <f t="shared" si="129"/>
        <v>7</v>
      </c>
      <c r="N1569" s="587">
        <f t="shared" si="129"/>
        <v>0</v>
      </c>
      <c r="O1569" s="587">
        <f t="shared" si="129"/>
        <v>0</v>
      </c>
      <c r="P1569" s="587">
        <f t="shared" si="129"/>
        <v>0</v>
      </c>
    </row>
    <row r="1570" spans="2:16">
      <c r="B1570" s="587" t="s">
        <v>868</v>
      </c>
      <c r="C1570" s="587" t="s">
        <v>869</v>
      </c>
      <c r="D1570" s="587" t="s">
        <v>848</v>
      </c>
      <c r="E1570" s="587"/>
      <c r="F1570" s="587" t="str">
        <f t="shared" si="125"/>
        <v>Bus</v>
      </c>
      <c r="G1570" s="587">
        <f t="shared" si="126"/>
        <v>2</v>
      </c>
      <c r="H1570" s="587"/>
      <c r="I1570" s="587">
        <v>30</v>
      </c>
      <c r="J1570" s="587">
        <f t="shared" si="128"/>
        <v>1.29</v>
      </c>
      <c r="K1570" s="587"/>
      <c r="L1570" s="587"/>
      <c r="M1570" s="587">
        <f t="shared" si="129"/>
        <v>2</v>
      </c>
      <c r="N1570" s="587">
        <f t="shared" si="129"/>
        <v>0</v>
      </c>
      <c r="O1570" s="587">
        <f t="shared" si="129"/>
        <v>0</v>
      </c>
      <c r="P1570" s="587">
        <f t="shared" si="129"/>
        <v>0</v>
      </c>
    </row>
    <row r="1571" spans="2:16">
      <c r="B1571" s="587" t="s">
        <v>868</v>
      </c>
      <c r="C1571" s="587" t="s">
        <v>869</v>
      </c>
      <c r="D1571" s="587" t="s">
        <v>871</v>
      </c>
      <c r="E1571" s="587"/>
      <c r="F1571" s="587" t="str">
        <f t="shared" si="125"/>
        <v>Marche à pied (exclusivement sur tout le trajet)</v>
      </c>
      <c r="G1571" s="587">
        <f t="shared" si="126"/>
        <v>7</v>
      </c>
      <c r="H1571" s="587"/>
      <c r="I1571" s="587">
        <v>2</v>
      </c>
      <c r="J1571" s="587">
        <f t="shared" si="128"/>
        <v>0</v>
      </c>
      <c r="K1571" s="587"/>
      <c r="L1571" s="587"/>
      <c r="M1571" s="587">
        <f t="shared" si="129"/>
        <v>7</v>
      </c>
      <c r="N1571" s="587">
        <f t="shared" si="129"/>
        <v>0</v>
      </c>
      <c r="O1571" s="587">
        <f t="shared" si="129"/>
        <v>0</v>
      </c>
      <c r="P1571" s="587">
        <f t="shared" si="129"/>
        <v>0</v>
      </c>
    </row>
    <row r="1572" spans="2:16">
      <c r="B1572" s="587" t="s">
        <v>868</v>
      </c>
      <c r="C1572" s="587" t="s">
        <v>869</v>
      </c>
      <c r="D1572" s="587" t="s">
        <v>871</v>
      </c>
      <c r="E1572" s="587"/>
      <c r="F1572" s="587" t="str">
        <f t="shared" si="125"/>
        <v>Marche à pied (exclusivement sur tout le trajet)</v>
      </c>
      <c r="G1572" s="587">
        <f t="shared" si="126"/>
        <v>7</v>
      </c>
      <c r="H1572" s="587"/>
      <c r="I1572" s="587">
        <v>5</v>
      </c>
      <c r="J1572" s="587">
        <f t="shared" si="128"/>
        <v>0</v>
      </c>
      <c r="K1572" s="587"/>
      <c r="L1572" s="587"/>
      <c r="M1572" s="587">
        <f t="shared" si="129"/>
        <v>7</v>
      </c>
      <c r="N1572" s="587">
        <f t="shared" si="129"/>
        <v>0</v>
      </c>
      <c r="O1572" s="587">
        <f t="shared" si="129"/>
        <v>0</v>
      </c>
      <c r="P1572" s="587">
        <f t="shared" si="129"/>
        <v>0</v>
      </c>
    </row>
    <row r="1573" spans="2:16">
      <c r="B1573" s="587" t="s">
        <v>868</v>
      </c>
      <c r="C1573" s="587" t="s">
        <v>869</v>
      </c>
      <c r="D1573" s="587" t="s">
        <v>871</v>
      </c>
      <c r="E1573" s="587"/>
      <c r="F1573" s="587" t="str">
        <f t="shared" si="125"/>
        <v>Marche à pied (exclusivement sur tout le trajet)</v>
      </c>
      <c r="G1573" s="587">
        <f t="shared" si="126"/>
        <v>7</v>
      </c>
      <c r="H1573" s="587"/>
      <c r="I1573" s="587">
        <v>5</v>
      </c>
      <c r="J1573" s="587">
        <f t="shared" si="128"/>
        <v>0</v>
      </c>
      <c r="K1573" s="587"/>
      <c r="L1573" s="587"/>
      <c r="M1573" s="587">
        <f t="shared" si="129"/>
        <v>7</v>
      </c>
      <c r="N1573" s="587">
        <f t="shared" si="129"/>
        <v>0</v>
      </c>
      <c r="O1573" s="587">
        <f t="shared" si="129"/>
        <v>0</v>
      </c>
      <c r="P1573" s="587">
        <f t="shared" si="129"/>
        <v>0</v>
      </c>
    </row>
    <row r="1574" spans="2:16">
      <c r="B1574" s="587" t="s">
        <v>868</v>
      </c>
      <c r="C1574" s="587" t="s">
        <v>869</v>
      </c>
      <c r="D1574" s="587" t="s">
        <v>871</v>
      </c>
      <c r="E1574" s="587"/>
      <c r="F1574" s="587" t="str">
        <f t="shared" si="125"/>
        <v>Marche à pied (exclusivement sur tout le trajet)</v>
      </c>
      <c r="G1574" s="587">
        <f t="shared" si="126"/>
        <v>7</v>
      </c>
      <c r="H1574" s="587"/>
      <c r="I1574" s="587">
        <v>7</v>
      </c>
      <c r="J1574" s="587">
        <f t="shared" si="128"/>
        <v>0</v>
      </c>
      <c r="K1574" s="587"/>
      <c r="L1574" s="587"/>
      <c r="M1574" s="587">
        <f t="shared" si="129"/>
        <v>7</v>
      </c>
      <c r="N1574" s="587">
        <f t="shared" si="129"/>
        <v>0</v>
      </c>
      <c r="O1574" s="587">
        <f t="shared" si="129"/>
        <v>0</v>
      </c>
      <c r="P1574" s="587">
        <f t="shared" si="129"/>
        <v>0</v>
      </c>
    </row>
    <row r="1575" spans="2:16">
      <c r="B1575" s="587" t="s">
        <v>868</v>
      </c>
      <c r="C1575" s="587" t="s">
        <v>869</v>
      </c>
      <c r="D1575" s="587"/>
      <c r="E1575" s="587" t="s">
        <v>878</v>
      </c>
      <c r="F1575" s="587" t="str">
        <f t="shared" si="125"/>
        <v>Marche à pied au-delà de 5 minutes</v>
      </c>
      <c r="G1575" s="587">
        <f t="shared" si="126"/>
        <v>7</v>
      </c>
      <c r="H1575" s="587"/>
      <c r="I1575" s="587">
        <v>5</v>
      </c>
      <c r="J1575" s="587">
        <f t="shared" si="128"/>
        <v>0</v>
      </c>
      <c r="K1575" s="587"/>
      <c r="L1575" s="587"/>
      <c r="M1575" s="587">
        <f t="shared" si="129"/>
        <v>7</v>
      </c>
      <c r="N1575" s="587">
        <f t="shared" si="129"/>
        <v>0</v>
      </c>
      <c r="O1575" s="587">
        <f t="shared" si="129"/>
        <v>0</v>
      </c>
      <c r="P1575" s="587">
        <f t="shared" si="129"/>
        <v>0</v>
      </c>
    </row>
    <row r="1576" spans="2:16">
      <c r="B1576" s="587" t="s">
        <v>868</v>
      </c>
      <c r="C1576" s="587" t="s">
        <v>869</v>
      </c>
      <c r="D1576" s="587" t="s">
        <v>871</v>
      </c>
      <c r="E1576" s="587"/>
      <c r="F1576" s="587" t="str">
        <f t="shared" si="125"/>
        <v>Marche à pied (exclusivement sur tout le trajet)</v>
      </c>
      <c r="G1576" s="587">
        <f t="shared" si="126"/>
        <v>7</v>
      </c>
      <c r="H1576" s="587"/>
      <c r="I1576" s="587">
        <v>12</v>
      </c>
      <c r="J1576" s="587">
        <f t="shared" si="128"/>
        <v>0</v>
      </c>
      <c r="K1576" s="587"/>
      <c r="L1576" s="587"/>
      <c r="M1576" s="587">
        <f t="shared" si="129"/>
        <v>7</v>
      </c>
      <c r="N1576" s="587">
        <f t="shared" si="129"/>
        <v>0</v>
      </c>
      <c r="O1576" s="587">
        <f t="shared" si="129"/>
        <v>0</v>
      </c>
      <c r="P1576" s="587">
        <f t="shared" si="129"/>
        <v>0</v>
      </c>
    </row>
    <row r="1577" spans="2:16">
      <c r="B1577" s="587" t="s">
        <v>868</v>
      </c>
      <c r="C1577" s="587" t="s">
        <v>882</v>
      </c>
      <c r="D1577" s="587" t="s">
        <v>879</v>
      </c>
      <c r="E1577" s="587"/>
      <c r="F1577" s="587" t="str">
        <f t="shared" si="125"/>
        <v>Voiture (seul(e))</v>
      </c>
      <c r="G1577" s="587">
        <f t="shared" si="126"/>
        <v>3</v>
      </c>
      <c r="H1577" s="587"/>
      <c r="I1577" s="587">
        <v>25</v>
      </c>
      <c r="J1577" s="587">
        <f t="shared" si="128"/>
        <v>2.7600000000000002</v>
      </c>
      <c r="K1577" s="587"/>
      <c r="L1577" s="587"/>
      <c r="M1577" s="587">
        <f t="shared" si="129"/>
        <v>0</v>
      </c>
      <c r="N1577" s="587">
        <f t="shared" si="129"/>
        <v>0</v>
      </c>
      <c r="O1577" s="587">
        <f t="shared" si="129"/>
        <v>3</v>
      </c>
      <c r="P1577" s="587">
        <f t="shared" si="129"/>
        <v>0</v>
      </c>
    </row>
    <row r="1578" spans="2:16">
      <c r="B1578" s="587" t="s">
        <v>868</v>
      </c>
      <c r="C1578" s="587" t="s">
        <v>869</v>
      </c>
      <c r="D1578" s="587" t="s">
        <v>872</v>
      </c>
      <c r="E1578" s="587"/>
      <c r="F1578" s="587" t="str">
        <f t="shared" si="125"/>
        <v>Vélo personnel (y compris vélo à assistance électrique)</v>
      </c>
      <c r="G1578" s="587">
        <f t="shared" si="126"/>
        <v>7</v>
      </c>
      <c r="H1578" s="587"/>
      <c r="I1578" s="587">
        <v>10</v>
      </c>
      <c r="J1578" s="587">
        <f t="shared" si="128"/>
        <v>0</v>
      </c>
      <c r="K1578" s="587"/>
      <c r="L1578" s="587"/>
      <c r="M1578" s="587">
        <f t="shared" si="129"/>
        <v>7</v>
      </c>
      <c r="N1578" s="587">
        <f t="shared" si="129"/>
        <v>0</v>
      </c>
      <c r="O1578" s="587">
        <f t="shared" si="129"/>
        <v>0</v>
      </c>
      <c r="P1578" s="587">
        <f t="shared" si="129"/>
        <v>0</v>
      </c>
    </row>
    <row r="1579" spans="2:16">
      <c r="B1579" s="587" t="s">
        <v>868</v>
      </c>
      <c r="C1579" s="587" t="s">
        <v>869</v>
      </c>
      <c r="D1579" s="587" t="s">
        <v>871</v>
      </c>
      <c r="E1579" s="587"/>
      <c r="F1579" s="587" t="str">
        <f t="shared" si="125"/>
        <v>Marche à pied (exclusivement sur tout le trajet)</v>
      </c>
      <c r="G1579" s="587">
        <f t="shared" si="126"/>
        <v>7</v>
      </c>
      <c r="H1579" s="587"/>
      <c r="I1579" s="587">
        <v>10</v>
      </c>
      <c r="J1579" s="587">
        <f t="shared" si="128"/>
        <v>0</v>
      </c>
      <c r="K1579" s="587"/>
      <c r="L1579" s="587"/>
      <c r="M1579" s="587">
        <f t="shared" si="129"/>
        <v>7</v>
      </c>
      <c r="N1579" s="587">
        <f t="shared" si="129"/>
        <v>0</v>
      </c>
      <c r="O1579" s="587">
        <f t="shared" si="129"/>
        <v>0</v>
      </c>
      <c r="P1579" s="587">
        <f t="shared" si="129"/>
        <v>0</v>
      </c>
    </row>
    <row r="1580" spans="2:16">
      <c r="B1580" s="587" t="s">
        <v>868</v>
      </c>
      <c r="C1580" s="587" t="s">
        <v>869</v>
      </c>
      <c r="D1580" s="587" t="s">
        <v>871</v>
      </c>
      <c r="E1580" s="587"/>
      <c r="F1580" s="587" t="str">
        <f t="shared" si="125"/>
        <v>Marche à pied (exclusivement sur tout le trajet)</v>
      </c>
      <c r="G1580" s="587">
        <f t="shared" si="126"/>
        <v>7</v>
      </c>
      <c r="H1580" s="587"/>
      <c r="I1580" s="587">
        <v>5</v>
      </c>
      <c r="J1580" s="587">
        <f t="shared" si="128"/>
        <v>0</v>
      </c>
      <c r="K1580" s="587"/>
      <c r="L1580" s="587"/>
      <c r="M1580" s="587">
        <f t="shared" si="129"/>
        <v>7</v>
      </c>
      <c r="N1580" s="587">
        <f t="shared" si="129"/>
        <v>0</v>
      </c>
      <c r="O1580" s="587">
        <f t="shared" si="129"/>
        <v>0</v>
      </c>
      <c r="P1580" s="587">
        <f t="shared" si="129"/>
        <v>0</v>
      </c>
    </row>
    <row r="1581" spans="2:16">
      <c r="B1581" s="587" t="s">
        <v>868</v>
      </c>
      <c r="C1581" s="587" t="s">
        <v>869</v>
      </c>
      <c r="D1581" s="587" t="s">
        <v>872</v>
      </c>
      <c r="E1581" s="587"/>
      <c r="F1581" s="587" t="str">
        <f t="shared" si="125"/>
        <v>Vélo personnel (y compris vélo à assistance électrique)</v>
      </c>
      <c r="G1581" s="587">
        <f t="shared" si="126"/>
        <v>7</v>
      </c>
      <c r="H1581" s="587"/>
      <c r="I1581" s="587">
        <v>15</v>
      </c>
      <c r="J1581" s="587">
        <f t="shared" si="128"/>
        <v>0</v>
      </c>
      <c r="K1581" s="587"/>
      <c r="L1581" s="587"/>
      <c r="M1581" s="587">
        <f t="shared" si="129"/>
        <v>7</v>
      </c>
      <c r="N1581" s="587">
        <f t="shared" si="129"/>
        <v>0</v>
      </c>
      <c r="O1581" s="587">
        <f t="shared" si="129"/>
        <v>0</v>
      </c>
      <c r="P1581" s="587">
        <f t="shared" si="129"/>
        <v>0</v>
      </c>
    </row>
    <row r="1582" spans="2:16">
      <c r="B1582" s="587" t="s">
        <v>868</v>
      </c>
      <c r="C1582" s="587" t="s">
        <v>869</v>
      </c>
      <c r="D1582" s="587" t="s">
        <v>871</v>
      </c>
      <c r="E1582" s="587"/>
      <c r="F1582" s="587" t="str">
        <f t="shared" si="125"/>
        <v>Marche à pied (exclusivement sur tout le trajet)</v>
      </c>
      <c r="G1582" s="587">
        <f t="shared" si="126"/>
        <v>7</v>
      </c>
      <c r="H1582" s="587"/>
      <c r="I1582" s="587">
        <v>4</v>
      </c>
      <c r="J1582" s="587">
        <f t="shared" si="128"/>
        <v>0</v>
      </c>
      <c r="K1582" s="587"/>
      <c r="L1582" s="587"/>
      <c r="M1582" s="587">
        <f t="shared" si="129"/>
        <v>7</v>
      </c>
      <c r="N1582" s="587">
        <f t="shared" si="129"/>
        <v>0</v>
      </c>
      <c r="O1582" s="587">
        <f t="shared" si="129"/>
        <v>0</v>
      </c>
      <c r="P1582" s="587">
        <f t="shared" si="129"/>
        <v>0</v>
      </c>
    </row>
    <row r="1583" spans="2:16">
      <c r="B1583" s="587" t="s">
        <v>868</v>
      </c>
      <c r="C1583" s="587" t="s">
        <v>882</v>
      </c>
      <c r="D1583" s="587" t="s">
        <v>879</v>
      </c>
      <c r="E1583" s="587"/>
      <c r="F1583" s="587" t="str">
        <f t="shared" si="125"/>
        <v>Voiture (seul(e))</v>
      </c>
      <c r="G1583" s="587">
        <f t="shared" si="126"/>
        <v>3</v>
      </c>
      <c r="H1583" s="587"/>
      <c r="I1583" s="587">
        <v>10</v>
      </c>
      <c r="J1583" s="587">
        <f t="shared" si="128"/>
        <v>2.7600000000000002</v>
      </c>
      <c r="K1583" s="587"/>
      <c r="L1583" s="587"/>
      <c r="M1583" s="587">
        <f t="shared" si="129"/>
        <v>0</v>
      </c>
      <c r="N1583" s="587">
        <f t="shared" si="129"/>
        <v>0</v>
      </c>
      <c r="O1583" s="587">
        <f t="shared" si="129"/>
        <v>3</v>
      </c>
      <c r="P1583" s="587">
        <f t="shared" si="129"/>
        <v>0</v>
      </c>
    </row>
    <row r="1584" spans="2:16">
      <c r="B1584" s="587" t="s">
        <v>868</v>
      </c>
      <c r="C1584" s="587" t="s">
        <v>869</v>
      </c>
      <c r="D1584" s="587" t="s">
        <v>871</v>
      </c>
      <c r="E1584" s="587"/>
      <c r="F1584" s="587" t="str">
        <f t="shared" si="125"/>
        <v>Marche à pied (exclusivement sur tout le trajet)</v>
      </c>
      <c r="G1584" s="587">
        <f t="shared" si="126"/>
        <v>7</v>
      </c>
      <c r="H1584" s="587"/>
      <c r="I1584" s="587">
        <v>10</v>
      </c>
      <c r="J1584" s="587">
        <f t="shared" si="128"/>
        <v>0</v>
      </c>
      <c r="K1584" s="587"/>
      <c r="L1584" s="587"/>
      <c r="M1584" s="587">
        <f t="shared" si="129"/>
        <v>7</v>
      </c>
      <c r="N1584" s="587">
        <f t="shared" si="129"/>
        <v>0</v>
      </c>
      <c r="O1584" s="587">
        <f t="shared" si="129"/>
        <v>0</v>
      </c>
      <c r="P1584" s="587">
        <f t="shared" si="129"/>
        <v>0</v>
      </c>
    </row>
    <row r="1585" spans="2:16">
      <c r="B1585" s="587" t="s">
        <v>868</v>
      </c>
      <c r="C1585" s="587" t="s">
        <v>875</v>
      </c>
      <c r="D1585" s="587" t="s">
        <v>879</v>
      </c>
      <c r="E1585" s="587"/>
      <c r="F1585" s="587" t="str">
        <f t="shared" si="125"/>
        <v>Voiture (seul(e))</v>
      </c>
      <c r="G1585" s="587">
        <f t="shared" si="126"/>
        <v>3</v>
      </c>
      <c r="H1585" s="587"/>
      <c r="I1585" s="587">
        <v>30</v>
      </c>
      <c r="J1585" s="587">
        <f t="shared" si="128"/>
        <v>2.7600000000000002</v>
      </c>
      <c r="K1585" s="587"/>
      <c r="L1585" s="587"/>
      <c r="M1585" s="587">
        <f t="shared" si="129"/>
        <v>0</v>
      </c>
      <c r="N1585" s="587">
        <f t="shared" si="129"/>
        <v>3</v>
      </c>
      <c r="O1585" s="587">
        <f t="shared" si="129"/>
        <v>0</v>
      </c>
      <c r="P1585" s="587">
        <f t="shared" si="129"/>
        <v>0</v>
      </c>
    </row>
    <row r="1586" spans="2:16">
      <c r="B1586" s="587" t="s">
        <v>868</v>
      </c>
      <c r="C1586" s="587" t="s">
        <v>869</v>
      </c>
      <c r="D1586" s="587" t="s">
        <v>871</v>
      </c>
      <c r="E1586" s="587"/>
      <c r="F1586" s="587" t="str">
        <f t="shared" si="125"/>
        <v>Marche à pied (exclusivement sur tout le trajet)</v>
      </c>
      <c r="G1586" s="587">
        <f t="shared" si="126"/>
        <v>7</v>
      </c>
      <c r="H1586" s="587"/>
      <c r="I1586" s="587">
        <v>7</v>
      </c>
      <c r="J1586" s="587">
        <f t="shared" si="128"/>
        <v>0</v>
      </c>
      <c r="K1586" s="587"/>
      <c r="L1586" s="587"/>
      <c r="M1586" s="587">
        <f t="shared" si="129"/>
        <v>7</v>
      </c>
      <c r="N1586" s="587">
        <f t="shared" si="129"/>
        <v>0</v>
      </c>
      <c r="O1586" s="587">
        <f t="shared" si="129"/>
        <v>0</v>
      </c>
      <c r="P1586" s="587">
        <f t="shared" si="129"/>
        <v>0</v>
      </c>
    </row>
    <row r="1587" spans="2:16">
      <c r="B1587" s="587" t="s">
        <v>868</v>
      </c>
      <c r="C1587" s="587" t="s">
        <v>882</v>
      </c>
      <c r="D1587" s="587" t="s">
        <v>879</v>
      </c>
      <c r="E1587" s="587"/>
      <c r="F1587" s="587" t="str">
        <f t="shared" si="125"/>
        <v>Voiture (seul(e))</v>
      </c>
      <c r="G1587" s="587">
        <f t="shared" si="126"/>
        <v>3</v>
      </c>
      <c r="H1587" s="587"/>
      <c r="I1587" s="587">
        <v>15</v>
      </c>
      <c r="J1587" s="587">
        <f t="shared" si="128"/>
        <v>2.7600000000000002</v>
      </c>
      <c r="K1587" s="587"/>
      <c r="L1587" s="587"/>
      <c r="M1587" s="587">
        <f t="shared" si="129"/>
        <v>0</v>
      </c>
      <c r="N1587" s="587">
        <f t="shared" si="129"/>
        <v>0</v>
      </c>
      <c r="O1587" s="587">
        <f t="shared" si="129"/>
        <v>3</v>
      </c>
      <c r="P1587" s="587">
        <f t="shared" si="129"/>
        <v>0</v>
      </c>
    </row>
    <row r="1588" spans="2:16">
      <c r="B1588" s="587" t="s">
        <v>868</v>
      </c>
      <c r="C1588" s="587" t="s">
        <v>869</v>
      </c>
      <c r="D1588" s="587" t="s">
        <v>871</v>
      </c>
      <c r="E1588" s="587"/>
      <c r="F1588" s="587" t="str">
        <f t="shared" si="125"/>
        <v>Marche à pied (exclusivement sur tout le trajet)</v>
      </c>
      <c r="G1588" s="587">
        <f t="shared" si="126"/>
        <v>7</v>
      </c>
      <c r="H1588" s="587"/>
      <c r="I1588" s="587">
        <v>15</v>
      </c>
      <c r="J1588" s="587">
        <f t="shared" si="128"/>
        <v>0</v>
      </c>
      <c r="K1588" s="587"/>
      <c r="L1588" s="587"/>
      <c r="M1588" s="587">
        <f t="shared" si="129"/>
        <v>7</v>
      </c>
      <c r="N1588" s="587">
        <f t="shared" si="129"/>
        <v>0</v>
      </c>
      <c r="O1588" s="587">
        <f t="shared" si="129"/>
        <v>0</v>
      </c>
      <c r="P1588" s="587">
        <f t="shared" si="129"/>
        <v>0</v>
      </c>
    </row>
    <row r="1589" spans="2:16">
      <c r="B1589" s="587" t="s">
        <v>868</v>
      </c>
      <c r="C1589" s="587" t="s">
        <v>875</v>
      </c>
      <c r="D1589" s="587" t="s">
        <v>879</v>
      </c>
      <c r="E1589" s="587"/>
      <c r="F1589" s="587" t="str">
        <f t="shared" si="125"/>
        <v>Voiture (seul(e))</v>
      </c>
      <c r="G1589" s="587">
        <f t="shared" si="126"/>
        <v>3</v>
      </c>
      <c r="H1589" s="587"/>
      <c r="I1589" s="587">
        <v>30</v>
      </c>
      <c r="J1589" s="587">
        <f t="shared" si="128"/>
        <v>2.7600000000000002</v>
      </c>
      <c r="K1589" s="587"/>
      <c r="L1589" s="587"/>
      <c r="M1589" s="587">
        <f t="shared" si="129"/>
        <v>0</v>
      </c>
      <c r="N1589" s="587">
        <f t="shared" si="129"/>
        <v>3</v>
      </c>
      <c r="O1589" s="587">
        <f t="shared" si="129"/>
        <v>0</v>
      </c>
      <c r="P1589" s="587">
        <f t="shared" si="129"/>
        <v>0</v>
      </c>
    </row>
    <row r="1590" spans="2:16">
      <c r="B1590" s="587" t="s">
        <v>868</v>
      </c>
      <c r="C1590" s="587" t="s">
        <v>869</v>
      </c>
      <c r="D1590" s="587" t="s">
        <v>872</v>
      </c>
      <c r="E1590" s="587"/>
      <c r="F1590" s="587" t="str">
        <f t="shared" si="125"/>
        <v>Vélo personnel (y compris vélo à assistance électrique)</v>
      </c>
      <c r="G1590" s="587">
        <f t="shared" si="126"/>
        <v>7</v>
      </c>
      <c r="H1590" s="587"/>
      <c r="I1590" s="587"/>
      <c r="J1590" s="587">
        <f t="shared" si="128"/>
        <v>0</v>
      </c>
      <c r="K1590" s="587"/>
      <c r="L1590" s="587"/>
      <c r="M1590" s="587">
        <f t="shared" si="129"/>
        <v>7</v>
      </c>
      <c r="N1590" s="587">
        <f t="shared" si="129"/>
        <v>0</v>
      </c>
      <c r="O1590" s="587">
        <f t="shared" si="129"/>
        <v>0</v>
      </c>
      <c r="P1590" s="587">
        <f t="shared" si="129"/>
        <v>0</v>
      </c>
    </row>
    <row r="1591" spans="2:16">
      <c r="B1591" s="587" t="s">
        <v>868</v>
      </c>
      <c r="C1591" s="587" t="s">
        <v>882</v>
      </c>
      <c r="D1591" s="587"/>
      <c r="E1591" s="587" t="s">
        <v>870</v>
      </c>
      <c r="F1591" s="587" t="str">
        <f t="shared" si="125"/>
        <v>Métro</v>
      </c>
      <c r="G1591" s="587">
        <f t="shared" si="126"/>
        <v>1</v>
      </c>
      <c r="H1591" s="587"/>
      <c r="I1591" s="587">
        <v>15</v>
      </c>
      <c r="J1591" s="587">
        <f t="shared" si="128"/>
        <v>4.8833333333333326E-2</v>
      </c>
      <c r="K1591" s="587"/>
      <c r="L1591" s="587"/>
      <c r="M1591" s="587">
        <f t="shared" si="129"/>
        <v>0</v>
      </c>
      <c r="N1591" s="587">
        <f t="shared" si="129"/>
        <v>0</v>
      </c>
      <c r="O1591" s="587">
        <f t="shared" si="129"/>
        <v>1</v>
      </c>
      <c r="P1591" s="587">
        <f t="shared" si="129"/>
        <v>0</v>
      </c>
    </row>
    <row r="1592" spans="2:16">
      <c r="B1592" s="587" t="s">
        <v>868</v>
      </c>
      <c r="C1592" s="587" t="s">
        <v>882</v>
      </c>
      <c r="D1592" s="587" t="s">
        <v>871</v>
      </c>
      <c r="E1592" s="587"/>
      <c r="F1592" s="587" t="str">
        <f t="shared" ref="F1592:F1630" si="130">IF(D1592="",E1592,D1592)</f>
        <v>Marche à pied (exclusivement sur tout le trajet)</v>
      </c>
      <c r="G1592" s="587">
        <f t="shared" ref="G1592:G1630" si="131">IF(F1592="Métro",1,IF(F1592="Tramway",1,IF(F1592="Vélo'v",7,IF(F1592="Marche à pied (exclusivement sur tout le trajet)",7,IF(F1592="Vélo personnel (y compris vélo à assistance électrique)",7,IF(F1592="Trottinette, roller, skateboard,…",7,IF(F1592="Marche à pied au-delà de 5 minutes",7,IF(F1592="Voiture (seul(e))",3,IF(F1592="Bus",2,IF(F1592="Trottinette, roller, skateboard au-delà de 5 minutes",7,IF(F1592="Covoiturage (passager(ère))",4,IF(F1592="Trottinette, roller, skateboard,...",7,IF(F1592="Vélo’v",7,IF(F1592="Train (TER,TGV,...)",6,IF(F1592="Deux roues motorisées (moto, scooter, mobylette,…)",5,IF(F1592="Covoiturage (conducteur(trice))",4,IF(F1592="Train (TER,..)",6,0)))))))))))))))))</f>
        <v>7</v>
      </c>
      <c r="H1592" s="587"/>
      <c r="I1592" s="587">
        <v>20</v>
      </c>
      <c r="J1592" s="587">
        <f t="shared" ref="J1592:J1623" si="132">IF(G1592=1,$C$6*($I$28*$K$6)/$J$6,IF(G1592=2,$C$7*($I$28*$K$7)/$J$7,IF(G1592=3,$C$8*$I$28*$K$8/$J$8,IF(G1592=4,$C$9*$I$28*$K$9/$J$9,IF(G1592=5,$C$10*$I$28*$K$10/$J$10,IF(G1592=6,$C$11*$K$11*$I$28/$J$11,0))))))</f>
        <v>0</v>
      </c>
      <c r="K1592" s="587"/>
      <c r="L1592" s="587"/>
      <c r="M1592" s="587">
        <f t="shared" si="129"/>
        <v>0</v>
      </c>
      <c r="N1592" s="587">
        <f t="shared" si="129"/>
        <v>0</v>
      </c>
      <c r="O1592" s="587">
        <f t="shared" si="129"/>
        <v>7</v>
      </c>
      <c r="P1592" s="587">
        <f t="shared" si="129"/>
        <v>0</v>
      </c>
    </row>
    <row r="1593" spans="2:16">
      <c r="B1593" s="587" t="s">
        <v>868</v>
      </c>
      <c r="C1593" s="587" t="s">
        <v>869</v>
      </c>
      <c r="D1593" s="587" t="s">
        <v>848</v>
      </c>
      <c r="E1593" s="587"/>
      <c r="F1593" s="587" t="str">
        <f t="shared" si="130"/>
        <v>Bus</v>
      </c>
      <c r="G1593" s="587">
        <f t="shared" si="131"/>
        <v>2</v>
      </c>
      <c r="H1593" s="587"/>
      <c r="I1593" s="587">
        <v>45</v>
      </c>
      <c r="J1593" s="587">
        <f t="shared" si="132"/>
        <v>1.29</v>
      </c>
      <c r="K1593" s="587"/>
      <c r="L1593" s="587"/>
      <c r="M1593" s="587">
        <f t="shared" si="129"/>
        <v>2</v>
      </c>
      <c r="N1593" s="587">
        <f t="shared" si="129"/>
        <v>0</v>
      </c>
      <c r="O1593" s="587">
        <f t="shared" si="129"/>
        <v>0</v>
      </c>
      <c r="P1593" s="587">
        <f t="shared" si="129"/>
        <v>0</v>
      </c>
    </row>
    <row r="1594" spans="2:16">
      <c r="B1594" s="587" t="s">
        <v>868</v>
      </c>
      <c r="C1594" s="587" t="s">
        <v>869</v>
      </c>
      <c r="D1594" s="587" t="s">
        <v>871</v>
      </c>
      <c r="E1594" s="587"/>
      <c r="F1594" s="587" t="str">
        <f t="shared" si="130"/>
        <v>Marche à pied (exclusivement sur tout le trajet)</v>
      </c>
      <c r="G1594" s="587">
        <f t="shared" si="131"/>
        <v>7</v>
      </c>
      <c r="H1594" s="587"/>
      <c r="I1594" s="587">
        <v>10</v>
      </c>
      <c r="J1594" s="587">
        <f t="shared" si="132"/>
        <v>0</v>
      </c>
      <c r="K1594" s="587"/>
      <c r="L1594" s="587"/>
      <c r="M1594" s="587">
        <f t="shared" si="129"/>
        <v>7</v>
      </c>
      <c r="N1594" s="587">
        <f t="shared" si="129"/>
        <v>0</v>
      </c>
      <c r="O1594" s="587">
        <f t="shared" si="129"/>
        <v>0</v>
      </c>
      <c r="P1594" s="587">
        <f t="shared" si="129"/>
        <v>0</v>
      </c>
    </row>
    <row r="1595" spans="2:16">
      <c r="B1595" s="587" t="s">
        <v>868</v>
      </c>
      <c r="C1595" s="587" t="s">
        <v>875</v>
      </c>
      <c r="D1595" s="587"/>
      <c r="E1595" s="587" t="s">
        <v>878</v>
      </c>
      <c r="F1595" s="587" t="str">
        <f t="shared" si="130"/>
        <v>Marche à pied au-delà de 5 minutes</v>
      </c>
      <c r="G1595" s="587">
        <f t="shared" si="131"/>
        <v>7</v>
      </c>
      <c r="H1595" s="587"/>
      <c r="I1595" s="587">
        <v>40</v>
      </c>
      <c r="J1595" s="587">
        <f t="shared" si="132"/>
        <v>0</v>
      </c>
      <c r="K1595" s="587"/>
      <c r="L1595" s="587"/>
      <c r="M1595" s="587">
        <f t="shared" si="129"/>
        <v>0</v>
      </c>
      <c r="N1595" s="587">
        <f t="shared" si="129"/>
        <v>7</v>
      </c>
      <c r="O1595" s="587">
        <f t="shared" si="129"/>
        <v>0</v>
      </c>
      <c r="P1595" s="587">
        <f t="shared" si="129"/>
        <v>0</v>
      </c>
    </row>
    <row r="1596" spans="2:16">
      <c r="B1596" s="587" t="s">
        <v>868</v>
      </c>
      <c r="C1596" s="587" t="s">
        <v>875</v>
      </c>
      <c r="D1596" s="587" t="s">
        <v>872</v>
      </c>
      <c r="E1596" s="587"/>
      <c r="F1596" s="587" t="str">
        <f t="shared" si="130"/>
        <v>Vélo personnel (y compris vélo à assistance électrique)</v>
      </c>
      <c r="G1596" s="587">
        <f t="shared" si="131"/>
        <v>7</v>
      </c>
      <c r="H1596" s="587"/>
      <c r="I1596" s="587">
        <v>5</v>
      </c>
      <c r="J1596" s="587">
        <f t="shared" si="132"/>
        <v>0</v>
      </c>
      <c r="K1596" s="587"/>
      <c r="L1596" s="587"/>
      <c r="M1596" s="587">
        <f t="shared" si="129"/>
        <v>0</v>
      </c>
      <c r="N1596" s="587">
        <f t="shared" si="129"/>
        <v>7</v>
      </c>
      <c r="O1596" s="587">
        <f t="shared" si="129"/>
        <v>0</v>
      </c>
      <c r="P1596" s="587">
        <f t="shared" si="129"/>
        <v>0</v>
      </c>
    </row>
    <row r="1597" spans="2:16">
      <c r="B1597" s="587" t="s">
        <v>868</v>
      </c>
      <c r="C1597" s="587" t="s">
        <v>869</v>
      </c>
      <c r="D1597" s="587" t="s">
        <v>879</v>
      </c>
      <c r="E1597" s="587"/>
      <c r="F1597" s="587" t="str">
        <f t="shared" si="130"/>
        <v>Voiture (seul(e))</v>
      </c>
      <c r="G1597" s="587">
        <f t="shared" si="131"/>
        <v>3</v>
      </c>
      <c r="H1597" s="587"/>
      <c r="I1597" s="587"/>
      <c r="J1597" s="587">
        <f t="shared" si="132"/>
        <v>2.7600000000000002</v>
      </c>
      <c r="K1597" s="587"/>
      <c r="L1597" s="587"/>
      <c r="M1597" s="587">
        <f t="shared" si="129"/>
        <v>3</v>
      </c>
      <c r="N1597" s="587">
        <f t="shared" si="129"/>
        <v>0</v>
      </c>
      <c r="O1597" s="587">
        <f t="shared" si="129"/>
        <v>0</v>
      </c>
      <c r="P1597" s="587">
        <f t="shared" si="129"/>
        <v>0</v>
      </c>
    </row>
    <row r="1598" spans="2:16">
      <c r="B1598" s="587" t="s">
        <v>868</v>
      </c>
      <c r="C1598" s="587" t="s">
        <v>869</v>
      </c>
      <c r="D1598" s="587" t="s">
        <v>877</v>
      </c>
      <c r="E1598" s="587"/>
      <c r="F1598" s="587" t="str">
        <f t="shared" si="130"/>
        <v>Vélo’v</v>
      </c>
      <c r="G1598" s="587">
        <f t="shared" si="131"/>
        <v>7</v>
      </c>
      <c r="H1598" s="587"/>
      <c r="I1598" s="587">
        <v>15</v>
      </c>
      <c r="J1598" s="587">
        <f t="shared" si="132"/>
        <v>0</v>
      </c>
      <c r="K1598" s="587"/>
      <c r="L1598" s="587"/>
      <c r="M1598" s="587">
        <f t="shared" si="129"/>
        <v>7</v>
      </c>
      <c r="N1598" s="587">
        <f t="shared" si="129"/>
        <v>0</v>
      </c>
      <c r="O1598" s="587">
        <f t="shared" si="129"/>
        <v>0</v>
      </c>
      <c r="P1598" s="587">
        <f t="shared" si="129"/>
        <v>0</v>
      </c>
    </row>
    <row r="1599" spans="2:16">
      <c r="B1599" s="587" t="s">
        <v>868</v>
      </c>
      <c r="C1599" s="587" t="s">
        <v>875</v>
      </c>
      <c r="D1599" s="587" t="s">
        <v>872</v>
      </c>
      <c r="E1599" s="587"/>
      <c r="F1599" s="587" t="str">
        <f t="shared" si="130"/>
        <v>Vélo personnel (y compris vélo à assistance électrique)</v>
      </c>
      <c r="G1599" s="587">
        <f t="shared" si="131"/>
        <v>7</v>
      </c>
      <c r="H1599" s="587"/>
      <c r="I1599" s="587">
        <v>10</v>
      </c>
      <c r="J1599" s="587">
        <f t="shared" si="132"/>
        <v>0</v>
      </c>
      <c r="K1599" s="587"/>
      <c r="L1599" s="587"/>
      <c r="M1599" s="587">
        <f t="shared" si="129"/>
        <v>0</v>
      </c>
      <c r="N1599" s="587">
        <f t="shared" si="129"/>
        <v>7</v>
      </c>
      <c r="O1599" s="587">
        <f t="shared" si="129"/>
        <v>0</v>
      </c>
      <c r="P1599" s="587">
        <f t="shared" si="129"/>
        <v>0</v>
      </c>
    </row>
    <row r="1600" spans="2:16">
      <c r="B1600" s="587" t="s">
        <v>868</v>
      </c>
      <c r="C1600" s="587" t="s">
        <v>875</v>
      </c>
      <c r="D1600" s="587" t="s">
        <v>872</v>
      </c>
      <c r="E1600" s="587"/>
      <c r="F1600" s="587" t="str">
        <f t="shared" si="130"/>
        <v>Vélo personnel (y compris vélo à assistance électrique)</v>
      </c>
      <c r="G1600" s="587">
        <f t="shared" si="131"/>
        <v>7</v>
      </c>
      <c r="H1600" s="587"/>
      <c r="I1600" s="587">
        <v>20</v>
      </c>
      <c r="J1600" s="587">
        <f t="shared" si="132"/>
        <v>0</v>
      </c>
      <c r="K1600" s="587"/>
      <c r="L1600" s="587"/>
      <c r="M1600" s="587">
        <f t="shared" si="129"/>
        <v>0</v>
      </c>
      <c r="N1600" s="587">
        <f t="shared" si="129"/>
        <v>7</v>
      </c>
      <c r="O1600" s="587">
        <f t="shared" si="129"/>
        <v>0</v>
      </c>
      <c r="P1600" s="587">
        <f t="shared" si="129"/>
        <v>0</v>
      </c>
    </row>
    <row r="1601" spans="2:16">
      <c r="B1601" s="587" t="s">
        <v>868</v>
      </c>
      <c r="C1601" s="587" t="s">
        <v>882</v>
      </c>
      <c r="D1601" s="587" t="s">
        <v>879</v>
      </c>
      <c r="E1601" s="587"/>
      <c r="F1601" s="587" t="str">
        <f t="shared" si="130"/>
        <v>Voiture (seul(e))</v>
      </c>
      <c r="G1601" s="587">
        <f t="shared" si="131"/>
        <v>3</v>
      </c>
      <c r="H1601" s="587"/>
      <c r="I1601" s="587">
        <v>25</v>
      </c>
      <c r="J1601" s="587">
        <f t="shared" si="132"/>
        <v>2.7600000000000002</v>
      </c>
      <c r="K1601" s="587"/>
      <c r="L1601" s="587"/>
      <c r="M1601" s="587">
        <f t="shared" si="129"/>
        <v>0</v>
      </c>
      <c r="N1601" s="587">
        <f t="shared" si="129"/>
        <v>0</v>
      </c>
      <c r="O1601" s="587">
        <f t="shared" si="129"/>
        <v>3</v>
      </c>
      <c r="P1601" s="587">
        <f t="shared" si="129"/>
        <v>0</v>
      </c>
    </row>
    <row r="1602" spans="2:16">
      <c r="B1602" s="587" t="s">
        <v>868</v>
      </c>
      <c r="C1602" s="587" t="s">
        <v>882</v>
      </c>
      <c r="D1602" s="587" t="s">
        <v>879</v>
      </c>
      <c r="E1602" s="587"/>
      <c r="F1602" s="587" t="str">
        <f t="shared" si="130"/>
        <v>Voiture (seul(e))</v>
      </c>
      <c r="G1602" s="587">
        <f t="shared" si="131"/>
        <v>3</v>
      </c>
      <c r="H1602" s="587"/>
      <c r="I1602" s="587">
        <v>25</v>
      </c>
      <c r="J1602" s="587">
        <f t="shared" si="132"/>
        <v>2.7600000000000002</v>
      </c>
      <c r="K1602" s="587"/>
      <c r="L1602" s="587"/>
      <c r="M1602" s="587">
        <f t="shared" si="129"/>
        <v>0</v>
      </c>
      <c r="N1602" s="587">
        <f t="shared" si="129"/>
        <v>0</v>
      </c>
      <c r="O1602" s="587">
        <f t="shared" si="129"/>
        <v>3</v>
      </c>
      <c r="P1602" s="587">
        <f t="shared" si="129"/>
        <v>0</v>
      </c>
    </row>
    <row r="1603" spans="2:16">
      <c r="B1603" s="587" t="s">
        <v>868</v>
      </c>
      <c r="C1603" s="587" t="s">
        <v>869</v>
      </c>
      <c r="D1603" s="587" t="s">
        <v>879</v>
      </c>
      <c r="E1603" s="587"/>
      <c r="F1603" s="587" t="str">
        <f t="shared" si="130"/>
        <v>Voiture (seul(e))</v>
      </c>
      <c r="G1603" s="587">
        <f t="shared" si="131"/>
        <v>3</v>
      </c>
      <c r="H1603" s="587"/>
      <c r="I1603" s="587">
        <v>10</v>
      </c>
      <c r="J1603" s="587">
        <f t="shared" si="132"/>
        <v>2.7600000000000002</v>
      </c>
      <c r="K1603" s="587"/>
      <c r="L1603" s="587"/>
      <c r="M1603" s="587">
        <f t="shared" si="129"/>
        <v>3</v>
      </c>
      <c r="N1603" s="587">
        <f t="shared" si="129"/>
        <v>0</v>
      </c>
      <c r="O1603" s="587">
        <f t="shared" si="129"/>
        <v>0</v>
      </c>
      <c r="P1603" s="587">
        <f t="shared" si="129"/>
        <v>0</v>
      </c>
    </row>
    <row r="1604" spans="2:16">
      <c r="B1604" s="587" t="s">
        <v>868</v>
      </c>
      <c r="C1604" s="587" t="s">
        <v>869</v>
      </c>
      <c r="D1604" s="587" t="s">
        <v>871</v>
      </c>
      <c r="E1604" s="587"/>
      <c r="F1604" s="587" t="str">
        <f t="shared" si="130"/>
        <v>Marche à pied (exclusivement sur tout le trajet)</v>
      </c>
      <c r="G1604" s="587">
        <f t="shared" si="131"/>
        <v>7</v>
      </c>
      <c r="H1604" s="587"/>
      <c r="I1604" s="587">
        <v>3</v>
      </c>
      <c r="J1604" s="587">
        <f t="shared" si="132"/>
        <v>0</v>
      </c>
      <c r="K1604" s="587"/>
      <c r="L1604" s="587"/>
      <c r="M1604" s="587">
        <f t="shared" si="129"/>
        <v>7</v>
      </c>
      <c r="N1604" s="587">
        <f t="shared" si="129"/>
        <v>0</v>
      </c>
      <c r="O1604" s="587">
        <f t="shared" si="129"/>
        <v>0</v>
      </c>
      <c r="P1604" s="587">
        <f t="shared" si="129"/>
        <v>0</v>
      </c>
    </row>
    <row r="1605" spans="2:16">
      <c r="B1605" s="587" t="s">
        <v>868</v>
      </c>
      <c r="C1605" s="587" t="s">
        <v>869</v>
      </c>
      <c r="D1605" s="587" t="s">
        <v>871</v>
      </c>
      <c r="E1605" s="587"/>
      <c r="F1605" s="587" t="str">
        <f t="shared" si="130"/>
        <v>Marche à pied (exclusivement sur tout le trajet)</v>
      </c>
      <c r="G1605" s="587">
        <f t="shared" si="131"/>
        <v>7</v>
      </c>
      <c r="H1605" s="587"/>
      <c r="I1605" s="587">
        <v>15</v>
      </c>
      <c r="J1605" s="587">
        <f t="shared" si="132"/>
        <v>0</v>
      </c>
      <c r="K1605" s="587"/>
      <c r="L1605" s="587"/>
      <c r="M1605" s="587">
        <f t="shared" si="129"/>
        <v>7</v>
      </c>
      <c r="N1605" s="587">
        <f t="shared" si="129"/>
        <v>0</v>
      </c>
      <c r="O1605" s="587">
        <f t="shared" si="129"/>
        <v>0</v>
      </c>
      <c r="P1605" s="587">
        <f t="shared" si="129"/>
        <v>0</v>
      </c>
    </row>
    <row r="1606" spans="2:16">
      <c r="B1606" s="587" t="s">
        <v>868</v>
      </c>
      <c r="C1606" s="587" t="s">
        <v>882</v>
      </c>
      <c r="D1606" s="587" t="s">
        <v>872</v>
      </c>
      <c r="E1606" s="587"/>
      <c r="F1606" s="587" t="str">
        <f t="shared" si="130"/>
        <v>Vélo personnel (y compris vélo à assistance électrique)</v>
      </c>
      <c r="G1606" s="587">
        <f t="shared" si="131"/>
        <v>7</v>
      </c>
      <c r="H1606" s="587"/>
      <c r="I1606" s="587">
        <v>5</v>
      </c>
      <c r="J1606" s="587">
        <f t="shared" si="132"/>
        <v>0</v>
      </c>
      <c r="K1606" s="587"/>
      <c r="L1606" s="587"/>
      <c r="M1606" s="587">
        <f t="shared" si="129"/>
        <v>0</v>
      </c>
      <c r="N1606" s="587">
        <f t="shared" si="129"/>
        <v>0</v>
      </c>
      <c r="O1606" s="587">
        <f t="shared" si="129"/>
        <v>7</v>
      </c>
      <c r="P1606" s="587">
        <f t="shared" si="129"/>
        <v>0</v>
      </c>
    </row>
    <row r="1607" spans="2:16">
      <c r="B1607" s="587" t="s">
        <v>868</v>
      </c>
      <c r="C1607" s="587" t="s">
        <v>869</v>
      </c>
      <c r="D1607" s="587" t="s">
        <v>872</v>
      </c>
      <c r="E1607" s="587"/>
      <c r="F1607" s="587" t="str">
        <f t="shared" si="130"/>
        <v>Vélo personnel (y compris vélo à assistance électrique)</v>
      </c>
      <c r="G1607" s="587">
        <f t="shared" si="131"/>
        <v>7</v>
      </c>
      <c r="H1607" s="587"/>
      <c r="I1607" s="587">
        <v>15</v>
      </c>
      <c r="J1607" s="587">
        <f t="shared" si="132"/>
        <v>0</v>
      </c>
      <c r="K1607" s="587"/>
      <c r="L1607" s="587"/>
      <c r="M1607" s="587">
        <f t="shared" si="129"/>
        <v>7</v>
      </c>
      <c r="N1607" s="587">
        <f t="shared" si="129"/>
        <v>0</v>
      </c>
      <c r="O1607" s="587">
        <f t="shared" si="129"/>
        <v>0</v>
      </c>
      <c r="P1607" s="587">
        <f t="shared" si="129"/>
        <v>0</v>
      </c>
    </row>
    <row r="1608" spans="2:16">
      <c r="B1608" s="587" t="s">
        <v>868</v>
      </c>
      <c r="C1608" s="587" t="s">
        <v>869</v>
      </c>
      <c r="D1608" s="587" t="s">
        <v>871</v>
      </c>
      <c r="E1608" s="587"/>
      <c r="F1608" s="587" t="str">
        <f t="shared" si="130"/>
        <v>Marche à pied (exclusivement sur tout le trajet)</v>
      </c>
      <c r="G1608" s="587">
        <f t="shared" si="131"/>
        <v>7</v>
      </c>
      <c r="H1608" s="587"/>
      <c r="I1608" s="587">
        <v>7</v>
      </c>
      <c r="J1608" s="587">
        <f t="shared" si="132"/>
        <v>0</v>
      </c>
      <c r="K1608" s="587"/>
      <c r="L1608" s="587"/>
      <c r="M1608" s="587">
        <f t="shared" si="129"/>
        <v>7</v>
      </c>
      <c r="N1608" s="587">
        <f t="shared" si="129"/>
        <v>0</v>
      </c>
      <c r="O1608" s="587">
        <f t="shared" si="129"/>
        <v>0</v>
      </c>
      <c r="P1608" s="587">
        <f t="shared" si="129"/>
        <v>0</v>
      </c>
    </row>
    <row r="1609" spans="2:16">
      <c r="B1609" s="587" t="s">
        <v>868</v>
      </c>
      <c r="C1609" s="587" t="s">
        <v>869</v>
      </c>
      <c r="D1609" s="587"/>
      <c r="E1609" s="587" t="s">
        <v>870</v>
      </c>
      <c r="F1609" s="587" t="str">
        <f t="shared" si="130"/>
        <v>Métro</v>
      </c>
      <c r="G1609" s="587">
        <f t="shared" si="131"/>
        <v>1</v>
      </c>
      <c r="H1609" s="587"/>
      <c r="I1609" s="587">
        <v>23</v>
      </c>
      <c r="J1609" s="587">
        <f t="shared" si="132"/>
        <v>4.8833333333333326E-2</v>
      </c>
      <c r="K1609" s="587"/>
      <c r="L1609" s="587"/>
      <c r="M1609" s="587">
        <f t="shared" si="129"/>
        <v>1</v>
      </c>
      <c r="N1609" s="587">
        <f t="shared" si="129"/>
        <v>0</v>
      </c>
      <c r="O1609" s="587">
        <f t="shared" si="129"/>
        <v>0</v>
      </c>
      <c r="P1609" s="587">
        <f t="shared" si="129"/>
        <v>0</v>
      </c>
    </row>
    <row r="1610" spans="2:16">
      <c r="B1610" s="587" t="s">
        <v>868</v>
      </c>
      <c r="C1610" s="587" t="s">
        <v>869</v>
      </c>
      <c r="D1610" s="587"/>
      <c r="E1610" s="587" t="s">
        <v>878</v>
      </c>
      <c r="F1610" s="587" t="str">
        <f t="shared" si="130"/>
        <v>Marche à pied au-delà de 5 minutes</v>
      </c>
      <c r="G1610" s="587">
        <f t="shared" si="131"/>
        <v>7</v>
      </c>
      <c r="H1610" s="587"/>
      <c r="I1610" s="587">
        <v>45</v>
      </c>
      <c r="J1610" s="587">
        <f t="shared" si="132"/>
        <v>0</v>
      </c>
      <c r="K1610" s="587"/>
      <c r="L1610" s="587"/>
      <c r="M1610" s="587">
        <f t="shared" si="129"/>
        <v>7</v>
      </c>
      <c r="N1610" s="587">
        <f t="shared" si="129"/>
        <v>0</v>
      </c>
      <c r="O1610" s="587">
        <f t="shared" si="129"/>
        <v>0</v>
      </c>
      <c r="P1610" s="587">
        <f t="shared" si="129"/>
        <v>0</v>
      </c>
    </row>
    <row r="1611" spans="2:16">
      <c r="B1611" s="587" t="s">
        <v>868</v>
      </c>
      <c r="C1611" s="587" t="s">
        <v>882</v>
      </c>
      <c r="D1611" s="587" t="s">
        <v>879</v>
      </c>
      <c r="E1611" s="587"/>
      <c r="F1611" s="587" t="str">
        <f t="shared" si="130"/>
        <v>Voiture (seul(e))</v>
      </c>
      <c r="G1611" s="587">
        <f t="shared" si="131"/>
        <v>3</v>
      </c>
      <c r="H1611" s="587"/>
      <c r="I1611" s="587">
        <v>35</v>
      </c>
      <c r="J1611" s="587">
        <f t="shared" si="132"/>
        <v>2.7600000000000002</v>
      </c>
      <c r="K1611" s="587"/>
      <c r="L1611" s="587"/>
      <c r="M1611" s="587">
        <f t="shared" si="129"/>
        <v>0</v>
      </c>
      <c r="N1611" s="587">
        <f t="shared" si="129"/>
        <v>0</v>
      </c>
      <c r="O1611" s="587">
        <f t="shared" si="129"/>
        <v>3</v>
      </c>
      <c r="P1611" s="587">
        <f t="shared" si="129"/>
        <v>0</v>
      </c>
    </row>
    <row r="1612" spans="2:16">
      <c r="B1612" s="587" t="s">
        <v>868</v>
      </c>
      <c r="C1612" s="587" t="s">
        <v>869</v>
      </c>
      <c r="D1612" s="587" t="s">
        <v>871</v>
      </c>
      <c r="E1612" s="587"/>
      <c r="F1612" s="587" t="str">
        <f t="shared" si="130"/>
        <v>Marche à pied (exclusivement sur tout le trajet)</v>
      </c>
      <c r="G1612" s="587">
        <f t="shared" si="131"/>
        <v>7</v>
      </c>
      <c r="H1612" s="587"/>
      <c r="I1612" s="587">
        <v>5</v>
      </c>
      <c r="J1612" s="587">
        <f t="shared" si="132"/>
        <v>0</v>
      </c>
      <c r="K1612" s="587"/>
      <c r="L1612" s="587"/>
      <c r="M1612" s="587">
        <f t="shared" si="129"/>
        <v>7</v>
      </c>
      <c r="N1612" s="587">
        <f t="shared" si="129"/>
        <v>0</v>
      </c>
      <c r="O1612" s="587">
        <f t="shared" si="129"/>
        <v>0</v>
      </c>
      <c r="P1612" s="587">
        <f t="shared" si="129"/>
        <v>0</v>
      </c>
    </row>
    <row r="1613" spans="2:16">
      <c r="B1613" s="587" t="s">
        <v>868</v>
      </c>
      <c r="C1613" s="587" t="s">
        <v>869</v>
      </c>
      <c r="D1613" s="587" t="s">
        <v>872</v>
      </c>
      <c r="E1613" s="587"/>
      <c r="F1613" s="587" t="str">
        <f t="shared" si="130"/>
        <v>Vélo personnel (y compris vélo à assistance électrique)</v>
      </c>
      <c r="G1613" s="587">
        <f t="shared" si="131"/>
        <v>7</v>
      </c>
      <c r="H1613" s="587"/>
      <c r="I1613" s="587">
        <v>7</v>
      </c>
      <c r="J1613" s="587">
        <f t="shared" si="132"/>
        <v>0</v>
      </c>
      <c r="K1613" s="587"/>
      <c r="L1613" s="587"/>
      <c r="M1613" s="587">
        <f t="shared" si="129"/>
        <v>7</v>
      </c>
      <c r="N1613" s="587">
        <f t="shared" si="129"/>
        <v>0</v>
      </c>
      <c r="O1613" s="587">
        <f t="shared" si="129"/>
        <v>0</v>
      </c>
      <c r="P1613" s="587">
        <f t="shared" si="129"/>
        <v>0</v>
      </c>
    </row>
    <row r="1614" spans="2:16">
      <c r="B1614" s="587" t="s">
        <v>868</v>
      </c>
      <c r="C1614" s="587" t="s">
        <v>869</v>
      </c>
      <c r="D1614" s="587" t="s">
        <v>871</v>
      </c>
      <c r="E1614" s="587"/>
      <c r="F1614" s="587" t="str">
        <f t="shared" si="130"/>
        <v>Marche à pied (exclusivement sur tout le trajet)</v>
      </c>
      <c r="G1614" s="587">
        <f t="shared" si="131"/>
        <v>7</v>
      </c>
      <c r="H1614" s="587"/>
      <c r="I1614" s="587">
        <v>10</v>
      </c>
      <c r="J1614" s="587">
        <f t="shared" si="132"/>
        <v>0</v>
      </c>
      <c r="K1614" s="587"/>
      <c r="L1614" s="587"/>
      <c r="M1614" s="587">
        <f t="shared" si="129"/>
        <v>7</v>
      </c>
      <c r="N1614" s="587">
        <f t="shared" si="129"/>
        <v>0</v>
      </c>
      <c r="O1614" s="587">
        <f t="shared" si="129"/>
        <v>0</v>
      </c>
      <c r="P1614" s="587">
        <f t="shared" si="129"/>
        <v>0</v>
      </c>
    </row>
    <row r="1615" spans="2:16">
      <c r="B1615" s="587" t="s">
        <v>868</v>
      </c>
      <c r="C1615" s="587" t="s">
        <v>869</v>
      </c>
      <c r="D1615" s="587" t="s">
        <v>871</v>
      </c>
      <c r="E1615" s="587"/>
      <c r="F1615" s="587" t="str">
        <f t="shared" si="130"/>
        <v>Marche à pied (exclusivement sur tout le trajet)</v>
      </c>
      <c r="G1615" s="587">
        <f t="shared" si="131"/>
        <v>7</v>
      </c>
      <c r="H1615" s="587"/>
      <c r="I1615" s="587">
        <v>10</v>
      </c>
      <c r="J1615" s="587">
        <f t="shared" si="132"/>
        <v>0</v>
      </c>
      <c r="K1615" s="587"/>
      <c r="L1615" s="587"/>
      <c r="M1615" s="587">
        <f t="shared" si="129"/>
        <v>7</v>
      </c>
      <c r="N1615" s="587">
        <f t="shared" si="129"/>
        <v>0</v>
      </c>
      <c r="O1615" s="587">
        <f t="shared" si="129"/>
        <v>0</v>
      </c>
      <c r="P1615" s="587">
        <f t="shared" si="129"/>
        <v>0</v>
      </c>
    </row>
    <row r="1616" spans="2:16">
      <c r="B1616" s="587" t="s">
        <v>868</v>
      </c>
      <c r="C1616" s="587" t="s">
        <v>875</v>
      </c>
      <c r="D1616" s="587"/>
      <c r="E1616" s="587" t="s">
        <v>878</v>
      </c>
      <c r="F1616" s="587" t="str">
        <f t="shared" si="130"/>
        <v>Marche à pied au-delà de 5 minutes</v>
      </c>
      <c r="G1616" s="587">
        <f t="shared" si="131"/>
        <v>7</v>
      </c>
      <c r="H1616" s="587"/>
      <c r="I1616" s="587">
        <v>30</v>
      </c>
      <c r="J1616" s="587">
        <f t="shared" si="132"/>
        <v>0</v>
      </c>
      <c r="K1616" s="587"/>
      <c r="L1616" s="587"/>
      <c r="M1616" s="587">
        <f t="shared" si="129"/>
        <v>0</v>
      </c>
      <c r="N1616" s="587">
        <f t="shared" si="129"/>
        <v>7</v>
      </c>
      <c r="O1616" s="587">
        <f t="shared" si="129"/>
        <v>0</v>
      </c>
      <c r="P1616" s="587">
        <f t="shared" si="129"/>
        <v>0</v>
      </c>
    </row>
    <row r="1617" spans="2:16">
      <c r="B1617" s="587" t="s">
        <v>868</v>
      </c>
      <c r="C1617" s="587" t="s">
        <v>882</v>
      </c>
      <c r="D1617" s="587" t="s">
        <v>879</v>
      </c>
      <c r="E1617" s="587"/>
      <c r="F1617" s="587" t="str">
        <f t="shared" si="130"/>
        <v>Voiture (seul(e))</v>
      </c>
      <c r="G1617" s="587">
        <f t="shared" si="131"/>
        <v>3</v>
      </c>
      <c r="H1617" s="587"/>
      <c r="I1617" s="587">
        <v>75</v>
      </c>
      <c r="J1617" s="587">
        <f t="shared" si="132"/>
        <v>2.7600000000000002</v>
      </c>
      <c r="K1617" s="587"/>
      <c r="L1617" s="587"/>
      <c r="M1617" s="587">
        <f t="shared" si="129"/>
        <v>0</v>
      </c>
      <c r="N1617" s="587">
        <f t="shared" si="129"/>
        <v>0</v>
      </c>
      <c r="O1617" s="587">
        <f t="shared" si="129"/>
        <v>3</v>
      </c>
      <c r="P1617" s="587">
        <f t="shared" si="129"/>
        <v>0</v>
      </c>
    </row>
    <row r="1618" spans="2:16">
      <c r="B1618" s="587" t="s">
        <v>868</v>
      </c>
      <c r="C1618" s="587" t="s">
        <v>869</v>
      </c>
      <c r="D1618" s="587" t="s">
        <v>871</v>
      </c>
      <c r="E1618" s="587"/>
      <c r="F1618" s="587" t="str">
        <f t="shared" si="130"/>
        <v>Marche à pied (exclusivement sur tout le trajet)</v>
      </c>
      <c r="G1618" s="587">
        <f t="shared" si="131"/>
        <v>7</v>
      </c>
      <c r="H1618" s="587"/>
      <c r="I1618" s="587">
        <v>5</v>
      </c>
      <c r="J1618" s="587">
        <f t="shared" si="132"/>
        <v>0</v>
      </c>
      <c r="K1618" s="587"/>
      <c r="L1618" s="587"/>
      <c r="M1618" s="587">
        <f t="shared" si="129"/>
        <v>7</v>
      </c>
      <c r="N1618" s="587">
        <f t="shared" si="129"/>
        <v>0</v>
      </c>
      <c r="O1618" s="587">
        <f t="shared" si="129"/>
        <v>0</v>
      </c>
      <c r="P1618" s="587">
        <f t="shared" si="129"/>
        <v>0</v>
      </c>
    </row>
    <row r="1619" spans="2:16">
      <c r="B1619" s="587" t="s">
        <v>868</v>
      </c>
      <c r="C1619" s="587" t="s">
        <v>869</v>
      </c>
      <c r="D1619" s="587" t="s">
        <v>879</v>
      </c>
      <c r="E1619" s="587"/>
      <c r="F1619" s="587" t="str">
        <f t="shared" si="130"/>
        <v>Voiture (seul(e))</v>
      </c>
      <c r="G1619" s="587">
        <f t="shared" si="131"/>
        <v>3</v>
      </c>
      <c r="H1619" s="587"/>
      <c r="I1619" s="587">
        <v>90</v>
      </c>
      <c r="J1619" s="587">
        <f t="shared" si="132"/>
        <v>2.7600000000000002</v>
      </c>
      <c r="K1619" s="587"/>
      <c r="L1619" s="587"/>
      <c r="M1619" s="587">
        <f t="shared" si="129"/>
        <v>3</v>
      </c>
      <c r="N1619" s="587">
        <f t="shared" si="129"/>
        <v>0</v>
      </c>
      <c r="O1619" s="587">
        <f t="shared" si="129"/>
        <v>0</v>
      </c>
      <c r="P1619" s="587">
        <f t="shared" si="129"/>
        <v>0</v>
      </c>
    </row>
    <row r="1620" spans="2:16">
      <c r="B1620" s="587" t="s">
        <v>868</v>
      </c>
      <c r="C1620" s="587" t="s">
        <v>869</v>
      </c>
      <c r="D1620" s="587" t="s">
        <v>872</v>
      </c>
      <c r="E1620" s="587"/>
      <c r="F1620" s="587" t="str">
        <f t="shared" si="130"/>
        <v>Vélo personnel (y compris vélo à assistance électrique)</v>
      </c>
      <c r="G1620" s="587">
        <f t="shared" si="131"/>
        <v>7</v>
      </c>
      <c r="H1620" s="587"/>
      <c r="I1620" s="587">
        <v>15</v>
      </c>
      <c r="J1620" s="587">
        <f t="shared" si="132"/>
        <v>0</v>
      </c>
      <c r="K1620" s="587"/>
      <c r="L1620" s="587"/>
      <c r="M1620" s="587">
        <f t="shared" si="129"/>
        <v>7</v>
      </c>
      <c r="N1620" s="587">
        <f t="shared" si="129"/>
        <v>0</v>
      </c>
      <c r="O1620" s="587">
        <f t="shared" si="129"/>
        <v>0</v>
      </c>
      <c r="P1620" s="587">
        <f t="shared" si="129"/>
        <v>0</v>
      </c>
    </row>
    <row r="1621" spans="2:16">
      <c r="B1621" s="587" t="s">
        <v>868</v>
      </c>
      <c r="C1621" s="587" t="s">
        <v>869</v>
      </c>
      <c r="D1621" s="587" t="s">
        <v>876</v>
      </c>
      <c r="E1621" s="587"/>
      <c r="F1621" s="587" t="str">
        <f t="shared" si="130"/>
        <v>Trottinette, roller, skateboard,...</v>
      </c>
      <c r="G1621" s="587">
        <f t="shared" si="131"/>
        <v>7</v>
      </c>
      <c r="H1621" s="587"/>
      <c r="I1621" s="587">
        <v>8</v>
      </c>
      <c r="J1621" s="587">
        <f t="shared" si="132"/>
        <v>0</v>
      </c>
      <c r="K1621" s="587"/>
      <c r="L1621" s="587"/>
      <c r="M1621" s="587">
        <f t="shared" si="129"/>
        <v>7</v>
      </c>
      <c r="N1621" s="587">
        <f t="shared" si="129"/>
        <v>0</v>
      </c>
      <c r="O1621" s="587">
        <f t="shared" si="129"/>
        <v>0</v>
      </c>
      <c r="P1621" s="587">
        <f t="shared" si="129"/>
        <v>0</v>
      </c>
    </row>
    <row r="1622" spans="2:16">
      <c r="B1622" s="587" t="s">
        <v>868</v>
      </c>
      <c r="C1622" s="587" t="s">
        <v>875</v>
      </c>
      <c r="D1622" s="587" t="s">
        <v>872</v>
      </c>
      <c r="E1622" s="587"/>
      <c r="F1622" s="587" t="str">
        <f t="shared" si="130"/>
        <v>Vélo personnel (y compris vélo à assistance électrique)</v>
      </c>
      <c r="G1622" s="587">
        <f t="shared" si="131"/>
        <v>7</v>
      </c>
      <c r="H1622" s="587"/>
      <c r="I1622" s="587">
        <v>20</v>
      </c>
      <c r="J1622" s="587">
        <f t="shared" si="132"/>
        <v>0</v>
      </c>
      <c r="K1622" s="587"/>
      <c r="L1622" s="587"/>
      <c r="M1622" s="587">
        <f t="shared" si="129"/>
        <v>0</v>
      </c>
      <c r="N1622" s="587">
        <f t="shared" si="129"/>
        <v>7</v>
      </c>
      <c r="O1622" s="587">
        <f t="shared" si="129"/>
        <v>0</v>
      </c>
      <c r="P1622" s="587">
        <f t="shared" si="129"/>
        <v>0</v>
      </c>
    </row>
    <row r="1623" spans="2:16">
      <c r="B1623" s="587" t="s">
        <v>868</v>
      </c>
      <c r="C1623" s="587" t="s">
        <v>869</v>
      </c>
      <c r="D1623" s="587" t="s">
        <v>873</v>
      </c>
      <c r="E1623" s="587"/>
      <c r="F1623" s="587" t="str">
        <f t="shared" si="130"/>
        <v>Tramway</v>
      </c>
      <c r="G1623" s="587">
        <f t="shared" si="131"/>
        <v>1</v>
      </c>
      <c r="H1623" s="587"/>
      <c r="I1623" s="587">
        <v>5</v>
      </c>
      <c r="J1623" s="587">
        <f t="shared" si="132"/>
        <v>4.8833333333333326E-2</v>
      </c>
      <c r="K1623" s="587"/>
      <c r="L1623" s="587"/>
      <c r="M1623" s="587">
        <f t="shared" si="129"/>
        <v>1</v>
      </c>
      <c r="N1623" s="587">
        <f t="shared" si="129"/>
        <v>0</v>
      </c>
      <c r="O1623" s="587">
        <f t="shared" si="129"/>
        <v>0</v>
      </c>
      <c r="P1623" s="587">
        <f t="shared" si="129"/>
        <v>0</v>
      </c>
    </row>
    <row r="1624" spans="2:16">
      <c r="B1624" s="587" t="s">
        <v>868</v>
      </c>
      <c r="C1624" s="587" t="s">
        <v>869</v>
      </c>
      <c r="D1624" s="587" t="s">
        <v>871</v>
      </c>
      <c r="E1624" s="587"/>
      <c r="F1624" s="587" t="str">
        <f t="shared" si="130"/>
        <v>Marche à pied (exclusivement sur tout le trajet)</v>
      </c>
      <c r="G1624" s="587">
        <f t="shared" si="131"/>
        <v>7</v>
      </c>
      <c r="H1624" s="587"/>
      <c r="I1624" s="587">
        <v>10</v>
      </c>
      <c r="J1624" s="587">
        <f t="shared" ref="J1624:J1630" si="133">IF(G1624=1,$C$6*($I$28*$K$6)/$J$6,IF(G1624=2,$C$7*($I$28*$K$7)/$J$7,IF(G1624=3,$C$8*$I$28*$K$8/$J$8,IF(G1624=4,$C$9*$I$28*$K$9/$J$9,IF(G1624=5,$C$10*$I$28*$K$10/$J$10,IF(G1624=6,$C$11*$K$11*$I$28/$J$11,0))))))</f>
        <v>0</v>
      </c>
      <c r="K1624" s="587"/>
      <c r="L1624" s="587"/>
      <c r="M1624" s="587">
        <f t="shared" si="129"/>
        <v>7</v>
      </c>
      <c r="N1624" s="587">
        <f t="shared" si="129"/>
        <v>0</v>
      </c>
      <c r="O1624" s="587">
        <f t="shared" si="129"/>
        <v>0</v>
      </c>
      <c r="P1624" s="587">
        <f t="shared" si="129"/>
        <v>0</v>
      </c>
    </row>
    <row r="1625" spans="2:16">
      <c r="B1625" s="587" t="s">
        <v>868</v>
      </c>
      <c r="C1625" s="587" t="s">
        <v>869</v>
      </c>
      <c r="D1625" s="587" t="s">
        <v>872</v>
      </c>
      <c r="E1625" s="587"/>
      <c r="F1625" s="587" t="str">
        <f t="shared" si="130"/>
        <v>Vélo personnel (y compris vélo à assistance électrique)</v>
      </c>
      <c r="G1625" s="587">
        <f t="shared" si="131"/>
        <v>7</v>
      </c>
      <c r="H1625" s="587"/>
      <c r="I1625" s="587">
        <v>10</v>
      </c>
      <c r="J1625" s="587">
        <f t="shared" si="133"/>
        <v>0</v>
      </c>
      <c r="K1625" s="587"/>
      <c r="L1625" s="587"/>
      <c r="M1625" s="587">
        <f t="shared" si="129"/>
        <v>7</v>
      </c>
      <c r="N1625" s="587">
        <f t="shared" si="129"/>
        <v>0</v>
      </c>
      <c r="O1625" s="587">
        <f t="shared" si="129"/>
        <v>0</v>
      </c>
      <c r="P1625" s="587">
        <f t="shared" ref="P1625:P1663" si="134">IF($C1625=P$27,$G1625,0)</f>
        <v>0</v>
      </c>
    </row>
    <row r="1626" spans="2:16">
      <c r="B1626" s="587" t="s">
        <v>868</v>
      </c>
      <c r="C1626" s="587" t="s">
        <v>869</v>
      </c>
      <c r="D1626" s="587" t="s">
        <v>871</v>
      </c>
      <c r="E1626" s="587"/>
      <c r="F1626" s="587" t="str">
        <f t="shared" si="130"/>
        <v>Marche à pied (exclusivement sur tout le trajet)</v>
      </c>
      <c r="G1626" s="587">
        <f t="shared" si="131"/>
        <v>7</v>
      </c>
      <c r="H1626" s="587"/>
      <c r="I1626" s="587">
        <v>2</v>
      </c>
      <c r="J1626" s="587">
        <f t="shared" si="133"/>
        <v>0</v>
      </c>
      <c r="K1626" s="587"/>
      <c r="L1626" s="587"/>
      <c r="M1626" s="587">
        <f t="shared" ref="M1626:O1663" si="135">IF($C1626=M$27,$G1626,0)</f>
        <v>7</v>
      </c>
      <c r="N1626" s="587">
        <f t="shared" si="135"/>
        <v>0</v>
      </c>
      <c r="O1626" s="587">
        <f t="shared" si="135"/>
        <v>0</v>
      </c>
      <c r="P1626" s="587">
        <f t="shared" si="134"/>
        <v>0</v>
      </c>
    </row>
    <row r="1627" spans="2:16">
      <c r="B1627" s="587" t="s">
        <v>868</v>
      </c>
      <c r="C1627" s="587" t="s">
        <v>869</v>
      </c>
      <c r="D1627" s="587" t="s">
        <v>873</v>
      </c>
      <c r="E1627" s="587"/>
      <c r="F1627" s="587" t="str">
        <f t="shared" si="130"/>
        <v>Tramway</v>
      </c>
      <c r="G1627" s="587">
        <f t="shared" si="131"/>
        <v>1</v>
      </c>
      <c r="H1627" s="587"/>
      <c r="I1627" s="587">
        <v>20</v>
      </c>
      <c r="J1627" s="587">
        <f t="shared" si="133"/>
        <v>4.8833333333333326E-2</v>
      </c>
      <c r="K1627" s="587"/>
      <c r="L1627" s="587"/>
      <c r="M1627" s="587">
        <f t="shared" si="135"/>
        <v>1</v>
      </c>
      <c r="N1627" s="587">
        <f t="shared" si="135"/>
        <v>0</v>
      </c>
      <c r="O1627" s="587">
        <f t="shared" si="135"/>
        <v>0</v>
      </c>
      <c r="P1627" s="587">
        <f t="shared" si="134"/>
        <v>0</v>
      </c>
    </row>
    <row r="1628" spans="2:16">
      <c r="B1628" s="587" t="s">
        <v>868</v>
      </c>
      <c r="C1628" s="587" t="s">
        <v>869</v>
      </c>
      <c r="D1628" s="587" t="s">
        <v>872</v>
      </c>
      <c r="E1628" s="587"/>
      <c r="F1628" s="587" t="str">
        <f t="shared" si="130"/>
        <v>Vélo personnel (y compris vélo à assistance électrique)</v>
      </c>
      <c r="G1628" s="587">
        <f t="shared" si="131"/>
        <v>7</v>
      </c>
      <c r="H1628" s="587"/>
      <c r="I1628" s="587">
        <v>15</v>
      </c>
      <c r="J1628" s="587">
        <f t="shared" si="133"/>
        <v>0</v>
      </c>
      <c r="K1628" s="587"/>
      <c r="L1628" s="587"/>
      <c r="M1628" s="587">
        <f t="shared" si="135"/>
        <v>7</v>
      </c>
      <c r="N1628" s="587">
        <f t="shared" si="135"/>
        <v>0</v>
      </c>
      <c r="O1628" s="587">
        <f t="shared" si="135"/>
        <v>0</v>
      </c>
      <c r="P1628" s="587">
        <f t="shared" si="134"/>
        <v>0</v>
      </c>
    </row>
    <row r="1629" spans="2:16">
      <c r="B1629" s="587" t="s">
        <v>868</v>
      </c>
      <c r="C1629" s="587" t="s">
        <v>882</v>
      </c>
      <c r="D1629" s="587"/>
      <c r="E1629" s="587" t="s">
        <v>878</v>
      </c>
      <c r="F1629" s="587" t="str">
        <f t="shared" si="130"/>
        <v>Marche à pied au-delà de 5 minutes</v>
      </c>
      <c r="G1629" s="587">
        <f t="shared" si="131"/>
        <v>7</v>
      </c>
      <c r="H1629" s="587"/>
      <c r="I1629" s="587">
        <v>75</v>
      </c>
      <c r="J1629" s="587">
        <f t="shared" si="133"/>
        <v>0</v>
      </c>
      <c r="K1629" s="587"/>
      <c r="L1629" s="587"/>
      <c r="M1629" s="587">
        <f t="shared" si="135"/>
        <v>0</v>
      </c>
      <c r="N1629" s="587">
        <f t="shared" si="135"/>
        <v>0</v>
      </c>
      <c r="O1629" s="587">
        <f t="shared" si="135"/>
        <v>7</v>
      </c>
      <c r="P1629" s="587">
        <f t="shared" si="134"/>
        <v>0</v>
      </c>
    </row>
    <row r="1630" spans="2:16">
      <c r="B1630" s="587" t="s">
        <v>868</v>
      </c>
      <c r="C1630" s="587" t="s">
        <v>869</v>
      </c>
      <c r="D1630" s="587" t="s">
        <v>872</v>
      </c>
      <c r="E1630" s="587"/>
      <c r="F1630" s="587" t="str">
        <f t="shared" si="130"/>
        <v>Vélo personnel (y compris vélo à assistance électrique)</v>
      </c>
      <c r="G1630" s="587">
        <f t="shared" si="131"/>
        <v>7</v>
      </c>
      <c r="H1630" s="587"/>
      <c r="I1630" s="587">
        <v>15</v>
      </c>
      <c r="J1630" s="587">
        <f t="shared" si="133"/>
        <v>0</v>
      </c>
      <c r="K1630" s="587"/>
      <c r="L1630" s="587"/>
      <c r="M1630" s="587">
        <f t="shared" si="135"/>
        <v>7</v>
      </c>
      <c r="N1630" s="587">
        <f t="shared" si="135"/>
        <v>0</v>
      </c>
      <c r="O1630" s="587">
        <f t="shared" si="135"/>
        <v>0</v>
      </c>
      <c r="P1630" s="587">
        <f t="shared" si="134"/>
        <v>0</v>
      </c>
    </row>
    <row r="1631" spans="2:16">
      <c r="B1631" s="587" t="s">
        <v>868</v>
      </c>
      <c r="C1631" s="587" t="s">
        <v>869</v>
      </c>
      <c r="D1631" s="587" t="s">
        <v>871</v>
      </c>
      <c r="E1631" s="587"/>
      <c r="F1631" s="587" t="str">
        <f t="shared" ref="F1631:F1662" si="136">IF(D1631="",E1631,D1631)</f>
        <v>Marche à pied (exclusivement sur tout le trajet)</v>
      </c>
      <c r="G1631" s="587">
        <f t="shared" ref="G1631:G1662" si="137">IF(F1631="Métro",1,IF(F1631="Tramway",1,IF(F1631="Vélo'v",7,IF(F1631="Marche à pied (exclusivement sur tout le trajet)",7,IF(F1631="Vélo personnel (y compris vélo à assistance électrique)",7,IF(F1631="Trottinette, roller, skateboard,…",7,IF(F1631="Marche à pied au-delà de 5 minutes",7,IF(F1631="Voiture (seul(e))",3,IF(F1631="Bus",2,IF(F1631="Trottinette, roller, skateboard au-delà de 5 minutes",7,IF(F1631="Covoiturage (passager(ère))",4,IF(F1631="Trottinette, roller, skateboard,...",7,IF(F1631="Vélo’v",7,IF(F1631="Train (TER,TGV,...)",6,IF(F1631="Deux roues motorisées (moto, scooter, mobylette,…)",5,IF(F1631="Covoiturage (conducteur(trice))",4,IF(F1631="Train (TER,..)",6,0)))))))))))))))))</f>
        <v>7</v>
      </c>
      <c r="H1631" s="587"/>
      <c r="I1631" s="587">
        <v>1</v>
      </c>
      <c r="J1631" s="587">
        <f t="shared" ref="J1631:J1662" si="138">IF(G1631=1,$C$6*($I$28*$K$6)/$J$6,IF(G1631=2,$C$7*($I$28*$K$7)/$J$7,IF(G1631=3,$C$8*$I$28*$K$8/$J$8,IF(G1631=4,$C$9*$I$28*$K$9/$J$9,IF(G1631=5,$C$10*$I$28*$K$10/$J$10,IF(G1631=6,$C$11*$K$11*$I$28/$J$11,0))))))</f>
        <v>0</v>
      </c>
      <c r="K1631" s="587"/>
      <c r="L1631" s="587"/>
      <c r="M1631" s="587">
        <f t="shared" si="135"/>
        <v>7</v>
      </c>
      <c r="N1631" s="587">
        <f t="shared" si="135"/>
        <v>0</v>
      </c>
      <c r="O1631" s="587">
        <f t="shared" si="135"/>
        <v>0</v>
      </c>
      <c r="P1631" s="587">
        <f t="shared" si="134"/>
        <v>0</v>
      </c>
    </row>
    <row r="1632" spans="2:16">
      <c r="B1632" s="587" t="s">
        <v>868</v>
      </c>
      <c r="C1632" s="587" t="s">
        <v>875</v>
      </c>
      <c r="D1632" s="587" t="s">
        <v>885</v>
      </c>
      <c r="E1632" s="587"/>
      <c r="F1632" s="587" t="str">
        <f t="shared" si="136"/>
        <v>Covoiturage (conducteur(trice))</v>
      </c>
      <c r="G1632" s="587">
        <f t="shared" si="137"/>
        <v>4</v>
      </c>
      <c r="H1632" s="587"/>
      <c r="I1632" s="587">
        <v>30</v>
      </c>
      <c r="J1632" s="587">
        <f t="shared" si="138"/>
        <v>0.69000000000000006</v>
      </c>
      <c r="K1632" s="587"/>
      <c r="L1632" s="587"/>
      <c r="M1632" s="587">
        <f t="shared" si="135"/>
        <v>0</v>
      </c>
      <c r="N1632" s="587">
        <f t="shared" si="135"/>
        <v>4</v>
      </c>
      <c r="O1632" s="587">
        <f t="shared" si="135"/>
        <v>0</v>
      </c>
      <c r="P1632" s="587">
        <f t="shared" si="134"/>
        <v>0</v>
      </c>
    </row>
    <row r="1633" spans="2:16">
      <c r="B1633" s="587" t="s">
        <v>868</v>
      </c>
      <c r="C1633" s="587" t="s">
        <v>869</v>
      </c>
      <c r="D1633" s="587" t="s">
        <v>876</v>
      </c>
      <c r="E1633" s="587"/>
      <c r="F1633" s="587" t="str">
        <f t="shared" si="136"/>
        <v>Trottinette, roller, skateboard,...</v>
      </c>
      <c r="G1633" s="587">
        <f t="shared" si="137"/>
        <v>7</v>
      </c>
      <c r="H1633" s="587"/>
      <c r="I1633" s="587">
        <v>2</v>
      </c>
      <c r="J1633" s="587">
        <f t="shared" si="138"/>
        <v>0</v>
      </c>
      <c r="K1633" s="587"/>
      <c r="L1633" s="587"/>
      <c r="M1633" s="587">
        <f t="shared" si="135"/>
        <v>7</v>
      </c>
      <c r="N1633" s="587">
        <f t="shared" si="135"/>
        <v>0</v>
      </c>
      <c r="O1633" s="587">
        <f t="shared" si="135"/>
        <v>0</v>
      </c>
      <c r="P1633" s="587">
        <f t="shared" si="134"/>
        <v>0</v>
      </c>
    </row>
    <row r="1634" spans="2:16">
      <c r="B1634" s="587" t="s">
        <v>868</v>
      </c>
      <c r="C1634" s="587" t="s">
        <v>869</v>
      </c>
      <c r="D1634" s="587" t="s">
        <v>871</v>
      </c>
      <c r="E1634" s="587"/>
      <c r="F1634" s="587" t="str">
        <f t="shared" si="136"/>
        <v>Marche à pied (exclusivement sur tout le trajet)</v>
      </c>
      <c r="G1634" s="587">
        <f t="shared" si="137"/>
        <v>7</v>
      </c>
      <c r="H1634" s="587"/>
      <c r="I1634" s="587">
        <v>1</v>
      </c>
      <c r="J1634" s="587">
        <f t="shared" si="138"/>
        <v>0</v>
      </c>
      <c r="K1634" s="587"/>
      <c r="L1634" s="587"/>
      <c r="M1634" s="587">
        <f t="shared" si="135"/>
        <v>7</v>
      </c>
      <c r="N1634" s="587">
        <f t="shared" si="135"/>
        <v>0</v>
      </c>
      <c r="O1634" s="587">
        <f t="shared" si="135"/>
        <v>0</v>
      </c>
      <c r="P1634" s="587">
        <f t="shared" si="134"/>
        <v>0</v>
      </c>
    </row>
    <row r="1635" spans="2:16">
      <c r="B1635" s="587" t="s">
        <v>868</v>
      </c>
      <c r="C1635" s="587" t="s">
        <v>869</v>
      </c>
      <c r="D1635" s="587" t="s">
        <v>873</v>
      </c>
      <c r="E1635" s="587"/>
      <c r="F1635" s="587" t="str">
        <f t="shared" si="136"/>
        <v>Tramway</v>
      </c>
      <c r="G1635" s="587">
        <f t="shared" si="137"/>
        <v>1</v>
      </c>
      <c r="H1635" s="587"/>
      <c r="I1635" s="587">
        <v>45</v>
      </c>
      <c r="J1635" s="587">
        <f t="shared" si="138"/>
        <v>4.8833333333333326E-2</v>
      </c>
      <c r="K1635" s="587"/>
      <c r="L1635" s="587"/>
      <c r="M1635" s="587">
        <f t="shared" si="135"/>
        <v>1</v>
      </c>
      <c r="N1635" s="587">
        <f t="shared" si="135"/>
        <v>0</v>
      </c>
      <c r="O1635" s="587">
        <f t="shared" si="135"/>
        <v>0</v>
      </c>
      <c r="P1635" s="587">
        <f t="shared" si="134"/>
        <v>0</v>
      </c>
    </row>
    <row r="1636" spans="2:16">
      <c r="B1636" s="587" t="s">
        <v>868</v>
      </c>
      <c r="C1636" s="587" t="s">
        <v>869</v>
      </c>
      <c r="D1636" s="587" t="s">
        <v>871</v>
      </c>
      <c r="E1636" s="587"/>
      <c r="F1636" s="587" t="str">
        <f t="shared" si="136"/>
        <v>Marche à pied (exclusivement sur tout le trajet)</v>
      </c>
      <c r="G1636" s="587">
        <f t="shared" si="137"/>
        <v>7</v>
      </c>
      <c r="H1636" s="587"/>
      <c r="I1636" s="587">
        <v>20</v>
      </c>
      <c r="J1636" s="587">
        <f t="shared" si="138"/>
        <v>0</v>
      </c>
      <c r="K1636" s="587"/>
      <c r="L1636" s="587"/>
      <c r="M1636" s="587">
        <f t="shared" si="135"/>
        <v>7</v>
      </c>
      <c r="N1636" s="587">
        <f t="shared" si="135"/>
        <v>0</v>
      </c>
      <c r="O1636" s="587">
        <f t="shared" si="135"/>
        <v>0</v>
      </c>
      <c r="P1636" s="587">
        <f t="shared" si="134"/>
        <v>0</v>
      </c>
    </row>
    <row r="1637" spans="2:16">
      <c r="B1637" s="587" t="s">
        <v>868</v>
      </c>
      <c r="C1637" s="587" t="s">
        <v>869</v>
      </c>
      <c r="D1637" s="587" t="s">
        <v>871</v>
      </c>
      <c r="E1637" s="587"/>
      <c r="F1637" s="587" t="str">
        <f t="shared" si="136"/>
        <v>Marche à pied (exclusivement sur tout le trajet)</v>
      </c>
      <c r="G1637" s="587">
        <f t="shared" si="137"/>
        <v>7</v>
      </c>
      <c r="H1637" s="587"/>
      <c r="I1637" s="587">
        <v>10</v>
      </c>
      <c r="J1637" s="587">
        <f t="shared" si="138"/>
        <v>0</v>
      </c>
      <c r="K1637" s="587"/>
      <c r="L1637" s="587"/>
      <c r="M1637" s="587">
        <f t="shared" si="135"/>
        <v>7</v>
      </c>
      <c r="N1637" s="587">
        <f t="shared" si="135"/>
        <v>0</v>
      </c>
      <c r="O1637" s="587">
        <f t="shared" si="135"/>
        <v>0</v>
      </c>
      <c r="P1637" s="587">
        <f t="shared" si="134"/>
        <v>0</v>
      </c>
    </row>
    <row r="1638" spans="2:16">
      <c r="B1638" s="587" t="s">
        <v>868</v>
      </c>
      <c r="C1638" s="587" t="s">
        <v>869</v>
      </c>
      <c r="D1638" s="587"/>
      <c r="E1638" s="587" t="s">
        <v>878</v>
      </c>
      <c r="F1638" s="587" t="str">
        <f t="shared" si="136"/>
        <v>Marche à pied au-delà de 5 minutes</v>
      </c>
      <c r="G1638" s="587">
        <f t="shared" si="137"/>
        <v>7</v>
      </c>
      <c r="H1638" s="587"/>
      <c r="I1638" s="587">
        <v>45</v>
      </c>
      <c r="J1638" s="587">
        <f t="shared" si="138"/>
        <v>0</v>
      </c>
      <c r="K1638" s="587"/>
      <c r="L1638" s="587"/>
      <c r="M1638" s="587">
        <f t="shared" si="135"/>
        <v>7</v>
      </c>
      <c r="N1638" s="587">
        <f t="shared" si="135"/>
        <v>0</v>
      </c>
      <c r="O1638" s="587">
        <f t="shared" si="135"/>
        <v>0</v>
      </c>
      <c r="P1638" s="587">
        <f t="shared" si="134"/>
        <v>0</v>
      </c>
    </row>
    <row r="1639" spans="2:16">
      <c r="B1639" s="587" t="s">
        <v>868</v>
      </c>
      <c r="C1639" s="587" t="s">
        <v>869</v>
      </c>
      <c r="D1639" s="587" t="s">
        <v>870</v>
      </c>
      <c r="E1639" s="587"/>
      <c r="F1639" s="587" t="str">
        <f t="shared" si="136"/>
        <v>Métro</v>
      </c>
      <c r="G1639" s="587">
        <f t="shared" si="137"/>
        <v>1</v>
      </c>
      <c r="H1639" s="587"/>
      <c r="I1639" s="587">
        <v>10</v>
      </c>
      <c r="J1639" s="587">
        <f t="shared" si="138"/>
        <v>4.8833333333333326E-2</v>
      </c>
      <c r="K1639" s="587"/>
      <c r="L1639" s="587"/>
      <c r="M1639" s="587">
        <f t="shared" si="135"/>
        <v>1</v>
      </c>
      <c r="N1639" s="587">
        <f t="shared" si="135"/>
        <v>0</v>
      </c>
      <c r="O1639" s="587">
        <f t="shared" si="135"/>
        <v>0</v>
      </c>
      <c r="P1639" s="587">
        <f t="shared" si="134"/>
        <v>0</v>
      </c>
    </row>
    <row r="1640" spans="2:16">
      <c r="B1640" s="587" t="s">
        <v>868</v>
      </c>
      <c r="C1640" s="587" t="s">
        <v>869</v>
      </c>
      <c r="D1640" s="587" t="s">
        <v>871</v>
      </c>
      <c r="E1640" s="587"/>
      <c r="F1640" s="587" t="str">
        <f t="shared" si="136"/>
        <v>Marche à pied (exclusivement sur tout le trajet)</v>
      </c>
      <c r="G1640" s="587">
        <f t="shared" si="137"/>
        <v>7</v>
      </c>
      <c r="H1640" s="587"/>
      <c r="I1640" s="587">
        <v>10</v>
      </c>
      <c r="J1640" s="587">
        <f t="shared" si="138"/>
        <v>0</v>
      </c>
      <c r="K1640" s="587"/>
      <c r="L1640" s="587"/>
      <c r="M1640" s="587">
        <f t="shared" si="135"/>
        <v>7</v>
      </c>
      <c r="N1640" s="587">
        <f t="shared" si="135"/>
        <v>0</v>
      </c>
      <c r="O1640" s="587">
        <f t="shared" si="135"/>
        <v>0</v>
      </c>
      <c r="P1640" s="587">
        <f t="shared" si="134"/>
        <v>0</v>
      </c>
    </row>
    <row r="1641" spans="2:16">
      <c r="B1641" s="587" t="s">
        <v>868</v>
      </c>
      <c r="C1641" s="587" t="s">
        <v>869</v>
      </c>
      <c r="D1641" s="587" t="s">
        <v>876</v>
      </c>
      <c r="E1641" s="587"/>
      <c r="F1641" s="587" t="str">
        <f t="shared" si="136"/>
        <v>Trottinette, roller, skateboard,...</v>
      </c>
      <c r="G1641" s="587">
        <f t="shared" si="137"/>
        <v>7</v>
      </c>
      <c r="H1641" s="587"/>
      <c r="I1641" s="587">
        <v>5</v>
      </c>
      <c r="J1641" s="587">
        <f t="shared" si="138"/>
        <v>0</v>
      </c>
      <c r="K1641" s="587"/>
      <c r="L1641" s="587"/>
      <c r="M1641" s="587">
        <f t="shared" si="135"/>
        <v>7</v>
      </c>
      <c r="N1641" s="587">
        <f t="shared" si="135"/>
        <v>0</v>
      </c>
      <c r="O1641" s="587">
        <f t="shared" si="135"/>
        <v>0</v>
      </c>
      <c r="P1641" s="587">
        <f t="shared" si="134"/>
        <v>0</v>
      </c>
    </row>
    <row r="1642" spans="2:16">
      <c r="B1642" s="587" t="s">
        <v>868</v>
      </c>
      <c r="C1642" s="587" t="s">
        <v>869</v>
      </c>
      <c r="D1642" s="587"/>
      <c r="E1642" s="587" t="s">
        <v>872</v>
      </c>
      <c r="F1642" s="587" t="str">
        <f t="shared" si="136"/>
        <v>Vélo personnel (y compris vélo à assistance électrique)</v>
      </c>
      <c r="G1642" s="587">
        <f t="shared" si="137"/>
        <v>7</v>
      </c>
      <c r="H1642" s="587"/>
      <c r="I1642" s="587">
        <v>15</v>
      </c>
      <c r="J1642" s="587">
        <f t="shared" si="138"/>
        <v>0</v>
      </c>
      <c r="K1642" s="587"/>
      <c r="L1642" s="587"/>
      <c r="M1642" s="587">
        <f t="shared" si="135"/>
        <v>7</v>
      </c>
      <c r="N1642" s="587">
        <f t="shared" si="135"/>
        <v>0</v>
      </c>
      <c r="O1642" s="587">
        <f t="shared" si="135"/>
        <v>0</v>
      </c>
      <c r="P1642" s="587">
        <f t="shared" si="134"/>
        <v>0</v>
      </c>
    </row>
    <row r="1643" spans="2:16">
      <c r="B1643" s="587" t="s">
        <v>868</v>
      </c>
      <c r="C1643" s="587" t="s">
        <v>875</v>
      </c>
      <c r="D1643" s="587"/>
      <c r="E1643" s="587" t="s">
        <v>879</v>
      </c>
      <c r="F1643" s="587" t="str">
        <f t="shared" si="136"/>
        <v>Voiture (seul(e))</v>
      </c>
      <c r="G1643" s="587">
        <f t="shared" si="137"/>
        <v>3</v>
      </c>
      <c r="H1643" s="587"/>
      <c r="I1643" s="587">
        <v>5</v>
      </c>
      <c r="J1643" s="587">
        <f t="shared" si="138"/>
        <v>2.7600000000000002</v>
      </c>
      <c r="K1643" s="587"/>
      <c r="L1643" s="587"/>
      <c r="M1643" s="587">
        <f t="shared" si="135"/>
        <v>0</v>
      </c>
      <c r="N1643" s="587">
        <f t="shared" si="135"/>
        <v>3</v>
      </c>
      <c r="O1643" s="587">
        <f t="shared" si="135"/>
        <v>0</v>
      </c>
      <c r="P1643" s="587">
        <f t="shared" si="134"/>
        <v>0</v>
      </c>
    </row>
    <row r="1644" spans="2:16">
      <c r="B1644" s="587" t="s">
        <v>868</v>
      </c>
      <c r="C1644" s="587" t="s">
        <v>869</v>
      </c>
      <c r="D1644" s="587" t="s">
        <v>872</v>
      </c>
      <c r="E1644" s="587"/>
      <c r="F1644" s="587" t="str">
        <f t="shared" si="136"/>
        <v>Vélo personnel (y compris vélo à assistance électrique)</v>
      </c>
      <c r="G1644" s="587">
        <f t="shared" si="137"/>
        <v>7</v>
      </c>
      <c r="H1644" s="587"/>
      <c r="I1644" s="587">
        <v>5</v>
      </c>
      <c r="J1644" s="587">
        <f t="shared" si="138"/>
        <v>0</v>
      </c>
      <c r="K1644" s="587"/>
      <c r="L1644" s="587"/>
      <c r="M1644" s="587">
        <f t="shared" si="135"/>
        <v>7</v>
      </c>
      <c r="N1644" s="587">
        <f t="shared" si="135"/>
        <v>0</v>
      </c>
      <c r="O1644" s="587">
        <f t="shared" si="135"/>
        <v>0</v>
      </c>
      <c r="P1644" s="587">
        <f t="shared" si="134"/>
        <v>0</v>
      </c>
    </row>
    <row r="1645" spans="2:16">
      <c r="B1645" s="587" t="s">
        <v>868</v>
      </c>
      <c r="C1645" s="587" t="s">
        <v>869</v>
      </c>
      <c r="D1645" s="587" t="s">
        <v>872</v>
      </c>
      <c r="E1645" s="587"/>
      <c r="F1645" s="587" t="str">
        <f t="shared" si="136"/>
        <v>Vélo personnel (y compris vélo à assistance électrique)</v>
      </c>
      <c r="G1645" s="587">
        <f t="shared" si="137"/>
        <v>7</v>
      </c>
      <c r="H1645" s="587"/>
      <c r="I1645" s="587">
        <v>2</v>
      </c>
      <c r="J1645" s="587">
        <f t="shared" si="138"/>
        <v>0</v>
      </c>
      <c r="K1645" s="587"/>
      <c r="L1645" s="587"/>
      <c r="M1645" s="587">
        <f t="shared" si="135"/>
        <v>7</v>
      </c>
      <c r="N1645" s="587">
        <f t="shared" si="135"/>
        <v>0</v>
      </c>
      <c r="O1645" s="587">
        <f t="shared" si="135"/>
        <v>0</v>
      </c>
      <c r="P1645" s="587">
        <f t="shared" si="134"/>
        <v>0</v>
      </c>
    </row>
    <row r="1646" spans="2:16">
      <c r="B1646" s="587" t="s">
        <v>868</v>
      </c>
      <c r="C1646" s="587" t="s">
        <v>869</v>
      </c>
      <c r="D1646" s="587" t="s">
        <v>872</v>
      </c>
      <c r="E1646" s="587"/>
      <c r="F1646" s="587" t="str">
        <f t="shared" si="136"/>
        <v>Vélo personnel (y compris vélo à assistance électrique)</v>
      </c>
      <c r="G1646" s="587">
        <f t="shared" si="137"/>
        <v>7</v>
      </c>
      <c r="H1646" s="587"/>
      <c r="I1646" s="587">
        <v>15</v>
      </c>
      <c r="J1646" s="587">
        <f t="shared" si="138"/>
        <v>0</v>
      </c>
      <c r="K1646" s="587"/>
      <c r="L1646" s="587"/>
      <c r="M1646" s="587">
        <f t="shared" si="135"/>
        <v>7</v>
      </c>
      <c r="N1646" s="587">
        <f t="shared" si="135"/>
        <v>0</v>
      </c>
      <c r="O1646" s="587">
        <f t="shared" si="135"/>
        <v>0</v>
      </c>
      <c r="P1646" s="587">
        <f t="shared" si="134"/>
        <v>0</v>
      </c>
    </row>
    <row r="1647" spans="2:16">
      <c r="B1647" s="587" t="s">
        <v>868</v>
      </c>
      <c r="C1647" s="587" t="s">
        <v>869</v>
      </c>
      <c r="D1647" s="587" t="s">
        <v>871</v>
      </c>
      <c r="E1647" s="587"/>
      <c r="F1647" s="587" t="str">
        <f t="shared" si="136"/>
        <v>Marche à pied (exclusivement sur tout le trajet)</v>
      </c>
      <c r="G1647" s="587">
        <f t="shared" si="137"/>
        <v>7</v>
      </c>
      <c r="H1647" s="587"/>
      <c r="I1647" s="587">
        <v>5</v>
      </c>
      <c r="J1647" s="587">
        <f t="shared" si="138"/>
        <v>0</v>
      </c>
      <c r="K1647" s="587"/>
      <c r="L1647" s="587"/>
      <c r="M1647" s="587">
        <f t="shared" si="135"/>
        <v>7</v>
      </c>
      <c r="N1647" s="587">
        <f t="shared" si="135"/>
        <v>0</v>
      </c>
      <c r="O1647" s="587">
        <f t="shared" si="135"/>
        <v>0</v>
      </c>
      <c r="P1647" s="587">
        <f t="shared" si="134"/>
        <v>0</v>
      </c>
    </row>
    <row r="1648" spans="2:16">
      <c r="B1648" s="587" t="s">
        <v>868</v>
      </c>
      <c r="C1648" s="587" t="s">
        <v>869</v>
      </c>
      <c r="D1648" s="587"/>
      <c r="E1648" s="587" t="s">
        <v>878</v>
      </c>
      <c r="F1648" s="587" t="str">
        <f t="shared" si="136"/>
        <v>Marche à pied au-delà de 5 minutes</v>
      </c>
      <c r="G1648" s="587">
        <f t="shared" si="137"/>
        <v>7</v>
      </c>
      <c r="H1648" s="587"/>
      <c r="I1648" s="587">
        <v>15</v>
      </c>
      <c r="J1648" s="587">
        <f t="shared" si="138"/>
        <v>0</v>
      </c>
      <c r="K1648" s="587"/>
      <c r="L1648" s="587"/>
      <c r="M1648" s="587">
        <f t="shared" si="135"/>
        <v>7</v>
      </c>
      <c r="N1648" s="587">
        <f t="shared" si="135"/>
        <v>0</v>
      </c>
      <c r="O1648" s="587">
        <f t="shared" si="135"/>
        <v>0</v>
      </c>
      <c r="P1648" s="587">
        <f t="shared" si="134"/>
        <v>0</v>
      </c>
    </row>
    <row r="1649" spans="2:16">
      <c r="B1649" s="587" t="s">
        <v>868</v>
      </c>
      <c r="C1649" s="587" t="s">
        <v>869</v>
      </c>
      <c r="D1649" s="587" t="s">
        <v>877</v>
      </c>
      <c r="E1649" s="587"/>
      <c r="F1649" s="587" t="str">
        <f t="shared" si="136"/>
        <v>Vélo’v</v>
      </c>
      <c r="G1649" s="587">
        <f t="shared" si="137"/>
        <v>7</v>
      </c>
      <c r="H1649" s="587"/>
      <c r="I1649" s="587">
        <v>15</v>
      </c>
      <c r="J1649" s="587">
        <f t="shared" si="138"/>
        <v>0</v>
      </c>
      <c r="K1649" s="587"/>
      <c r="L1649" s="587"/>
      <c r="M1649" s="587">
        <f t="shared" si="135"/>
        <v>7</v>
      </c>
      <c r="N1649" s="587">
        <f t="shared" si="135"/>
        <v>0</v>
      </c>
      <c r="O1649" s="587">
        <f t="shared" si="135"/>
        <v>0</v>
      </c>
      <c r="P1649" s="587">
        <f t="shared" si="134"/>
        <v>0</v>
      </c>
    </row>
    <row r="1650" spans="2:16">
      <c r="B1650" s="587" t="s">
        <v>868</v>
      </c>
      <c r="C1650" s="587" t="s">
        <v>869</v>
      </c>
      <c r="D1650" s="587" t="s">
        <v>871</v>
      </c>
      <c r="E1650" s="587"/>
      <c r="F1650" s="587" t="str">
        <f t="shared" si="136"/>
        <v>Marche à pied (exclusivement sur tout le trajet)</v>
      </c>
      <c r="G1650" s="587">
        <f t="shared" si="137"/>
        <v>7</v>
      </c>
      <c r="H1650" s="587"/>
      <c r="I1650" s="587">
        <v>5</v>
      </c>
      <c r="J1650" s="587">
        <f t="shared" si="138"/>
        <v>0</v>
      </c>
      <c r="K1650" s="587"/>
      <c r="L1650" s="587"/>
      <c r="M1650" s="587">
        <f t="shared" si="135"/>
        <v>7</v>
      </c>
      <c r="N1650" s="587">
        <f t="shared" si="135"/>
        <v>0</v>
      </c>
      <c r="O1650" s="587">
        <f t="shared" si="135"/>
        <v>0</v>
      </c>
      <c r="P1650" s="587">
        <f t="shared" si="134"/>
        <v>0</v>
      </c>
    </row>
    <row r="1651" spans="2:16">
      <c r="B1651" s="587" t="s">
        <v>868</v>
      </c>
      <c r="C1651" s="587" t="s">
        <v>869</v>
      </c>
      <c r="D1651" s="587" t="s">
        <v>871</v>
      </c>
      <c r="E1651" s="587"/>
      <c r="F1651" s="587" t="str">
        <f t="shared" si="136"/>
        <v>Marche à pied (exclusivement sur tout le trajet)</v>
      </c>
      <c r="G1651" s="587">
        <f t="shared" si="137"/>
        <v>7</v>
      </c>
      <c r="H1651" s="587"/>
      <c r="I1651" s="587">
        <v>5</v>
      </c>
      <c r="J1651" s="587">
        <f t="shared" si="138"/>
        <v>0</v>
      </c>
      <c r="K1651" s="587"/>
      <c r="L1651" s="587"/>
      <c r="M1651" s="587">
        <f t="shared" si="135"/>
        <v>7</v>
      </c>
      <c r="N1651" s="587">
        <f t="shared" si="135"/>
        <v>0</v>
      </c>
      <c r="O1651" s="587">
        <f t="shared" si="135"/>
        <v>0</v>
      </c>
      <c r="P1651" s="587">
        <f t="shared" si="134"/>
        <v>0</v>
      </c>
    </row>
    <row r="1652" spans="2:16">
      <c r="B1652" s="587" t="s">
        <v>868</v>
      </c>
      <c r="C1652" s="587" t="s">
        <v>35</v>
      </c>
      <c r="D1652" s="587" t="s">
        <v>871</v>
      </c>
      <c r="E1652" s="587"/>
      <c r="F1652" s="587" t="str">
        <f t="shared" si="136"/>
        <v>Marche à pied (exclusivement sur tout le trajet)</v>
      </c>
      <c r="G1652" s="587">
        <f t="shared" si="137"/>
        <v>7</v>
      </c>
      <c r="H1652" s="587"/>
      <c r="I1652" s="587">
        <v>12</v>
      </c>
      <c r="J1652" s="587">
        <f t="shared" si="138"/>
        <v>0</v>
      </c>
      <c r="K1652" s="587"/>
      <c r="L1652" s="587"/>
      <c r="M1652" s="587">
        <f t="shared" si="135"/>
        <v>0</v>
      </c>
      <c r="N1652" s="587">
        <f t="shared" si="135"/>
        <v>0</v>
      </c>
      <c r="O1652" s="587">
        <f t="shared" si="135"/>
        <v>0</v>
      </c>
      <c r="P1652" s="587">
        <f t="shared" si="134"/>
        <v>7</v>
      </c>
    </row>
    <row r="1653" spans="2:16">
      <c r="B1653" s="587" t="s">
        <v>868</v>
      </c>
      <c r="C1653" s="587" t="s">
        <v>869</v>
      </c>
      <c r="D1653" s="587" t="s">
        <v>872</v>
      </c>
      <c r="E1653" s="587"/>
      <c r="F1653" s="587" t="str">
        <f t="shared" si="136"/>
        <v>Vélo personnel (y compris vélo à assistance électrique)</v>
      </c>
      <c r="G1653" s="587">
        <f t="shared" si="137"/>
        <v>7</v>
      </c>
      <c r="H1653" s="587"/>
      <c r="I1653" s="587">
        <v>10</v>
      </c>
      <c r="J1653" s="587">
        <f t="shared" si="138"/>
        <v>0</v>
      </c>
      <c r="K1653" s="587"/>
      <c r="L1653" s="587"/>
      <c r="M1653" s="587">
        <f t="shared" si="135"/>
        <v>7</v>
      </c>
      <c r="N1653" s="587">
        <f t="shared" si="135"/>
        <v>0</v>
      </c>
      <c r="O1653" s="587">
        <f t="shared" si="135"/>
        <v>0</v>
      </c>
      <c r="P1653" s="587">
        <f t="shared" si="134"/>
        <v>0</v>
      </c>
    </row>
    <row r="1654" spans="2:16">
      <c r="B1654" s="587" t="s">
        <v>868</v>
      </c>
      <c r="C1654" s="587" t="s">
        <v>35</v>
      </c>
      <c r="D1654" s="587" t="s">
        <v>879</v>
      </c>
      <c r="E1654" s="587"/>
      <c r="F1654" s="587" t="str">
        <f t="shared" si="136"/>
        <v>Voiture (seul(e))</v>
      </c>
      <c r="G1654" s="587">
        <f t="shared" si="137"/>
        <v>3</v>
      </c>
      <c r="H1654" s="587"/>
      <c r="I1654" s="587">
        <v>30</v>
      </c>
      <c r="J1654" s="587">
        <f t="shared" si="138"/>
        <v>2.7600000000000002</v>
      </c>
      <c r="K1654" s="587"/>
      <c r="L1654" s="587"/>
      <c r="M1654" s="587">
        <f t="shared" si="135"/>
        <v>0</v>
      </c>
      <c r="N1654" s="587">
        <f t="shared" si="135"/>
        <v>0</v>
      </c>
      <c r="O1654" s="587">
        <f t="shared" si="135"/>
        <v>0</v>
      </c>
      <c r="P1654" s="587">
        <f t="shared" si="134"/>
        <v>3</v>
      </c>
    </row>
    <row r="1655" spans="2:16">
      <c r="B1655" s="587" t="s">
        <v>868</v>
      </c>
      <c r="C1655" s="587" t="s">
        <v>869</v>
      </c>
      <c r="D1655" s="587" t="s">
        <v>871</v>
      </c>
      <c r="E1655" s="587"/>
      <c r="F1655" s="587" t="str">
        <f t="shared" si="136"/>
        <v>Marche à pied (exclusivement sur tout le trajet)</v>
      </c>
      <c r="G1655" s="587">
        <f t="shared" si="137"/>
        <v>7</v>
      </c>
      <c r="H1655" s="587"/>
      <c r="I1655" s="587">
        <v>5</v>
      </c>
      <c r="J1655" s="587">
        <f t="shared" si="138"/>
        <v>0</v>
      </c>
      <c r="K1655" s="587"/>
      <c r="L1655" s="587"/>
      <c r="M1655" s="587">
        <f t="shared" si="135"/>
        <v>7</v>
      </c>
      <c r="N1655" s="587">
        <f t="shared" si="135"/>
        <v>0</v>
      </c>
      <c r="O1655" s="587">
        <f t="shared" si="135"/>
        <v>0</v>
      </c>
      <c r="P1655" s="587">
        <f t="shared" si="134"/>
        <v>0</v>
      </c>
    </row>
    <row r="1656" spans="2:16">
      <c r="B1656" s="587" t="s">
        <v>868</v>
      </c>
      <c r="C1656" s="587" t="s">
        <v>869</v>
      </c>
      <c r="D1656" s="587" t="s">
        <v>876</v>
      </c>
      <c r="E1656" s="587"/>
      <c r="F1656" s="587" t="str">
        <f t="shared" si="136"/>
        <v>Trottinette, roller, skateboard,...</v>
      </c>
      <c r="G1656" s="587">
        <f t="shared" si="137"/>
        <v>7</v>
      </c>
      <c r="H1656" s="587"/>
      <c r="I1656" s="587">
        <v>5</v>
      </c>
      <c r="J1656" s="587">
        <f t="shared" si="138"/>
        <v>0</v>
      </c>
      <c r="K1656" s="587"/>
      <c r="L1656" s="587"/>
      <c r="M1656" s="587">
        <f t="shared" si="135"/>
        <v>7</v>
      </c>
      <c r="N1656" s="587">
        <f t="shared" si="135"/>
        <v>0</v>
      </c>
      <c r="O1656" s="587">
        <f t="shared" si="135"/>
        <v>0</v>
      </c>
      <c r="P1656" s="587">
        <f t="shared" si="134"/>
        <v>0</v>
      </c>
    </row>
    <row r="1657" spans="2:16">
      <c r="B1657" s="587" t="s">
        <v>868</v>
      </c>
      <c r="C1657" s="587" t="s">
        <v>869</v>
      </c>
      <c r="D1657" s="587" t="s">
        <v>871</v>
      </c>
      <c r="E1657" s="587"/>
      <c r="F1657" s="587" t="str">
        <f t="shared" si="136"/>
        <v>Marche à pied (exclusivement sur tout le trajet)</v>
      </c>
      <c r="G1657" s="587">
        <f t="shared" si="137"/>
        <v>7</v>
      </c>
      <c r="H1657" s="587"/>
      <c r="I1657" s="587">
        <v>5</v>
      </c>
      <c r="J1657" s="587">
        <f t="shared" si="138"/>
        <v>0</v>
      </c>
      <c r="K1657" s="587"/>
      <c r="L1657" s="587"/>
      <c r="M1657" s="587">
        <f t="shared" si="135"/>
        <v>7</v>
      </c>
      <c r="N1657" s="587">
        <f t="shared" si="135"/>
        <v>0</v>
      </c>
      <c r="O1657" s="587">
        <f t="shared" si="135"/>
        <v>0</v>
      </c>
      <c r="P1657" s="587">
        <f t="shared" si="134"/>
        <v>0</v>
      </c>
    </row>
    <row r="1658" spans="2:16">
      <c r="B1658" s="587" t="s">
        <v>868</v>
      </c>
      <c r="C1658" s="587" t="s">
        <v>875</v>
      </c>
      <c r="D1658" s="587" t="s">
        <v>872</v>
      </c>
      <c r="E1658" s="587"/>
      <c r="F1658" s="587" t="str">
        <f t="shared" si="136"/>
        <v>Vélo personnel (y compris vélo à assistance électrique)</v>
      </c>
      <c r="G1658" s="587">
        <f t="shared" si="137"/>
        <v>7</v>
      </c>
      <c r="H1658" s="587"/>
      <c r="I1658" s="587">
        <v>23</v>
      </c>
      <c r="J1658" s="587">
        <f t="shared" si="138"/>
        <v>0</v>
      </c>
      <c r="K1658" s="587"/>
      <c r="L1658" s="587"/>
      <c r="M1658" s="587">
        <f t="shared" si="135"/>
        <v>0</v>
      </c>
      <c r="N1658" s="587">
        <f t="shared" si="135"/>
        <v>7</v>
      </c>
      <c r="O1658" s="587">
        <f t="shared" si="135"/>
        <v>0</v>
      </c>
      <c r="P1658" s="587">
        <f t="shared" si="134"/>
        <v>0</v>
      </c>
    </row>
    <row r="1659" spans="2:16">
      <c r="B1659" s="587" t="s">
        <v>868</v>
      </c>
      <c r="C1659" s="587" t="s">
        <v>869</v>
      </c>
      <c r="D1659" s="587" t="s">
        <v>871</v>
      </c>
      <c r="E1659" s="587"/>
      <c r="F1659" s="587" t="str">
        <f t="shared" si="136"/>
        <v>Marche à pied (exclusivement sur tout le trajet)</v>
      </c>
      <c r="G1659" s="587">
        <f t="shared" si="137"/>
        <v>7</v>
      </c>
      <c r="H1659" s="587"/>
      <c r="I1659" s="587"/>
      <c r="J1659" s="587">
        <f t="shared" si="138"/>
        <v>0</v>
      </c>
      <c r="K1659" s="587"/>
      <c r="L1659" s="587"/>
      <c r="M1659" s="587">
        <f t="shared" si="135"/>
        <v>7</v>
      </c>
      <c r="N1659" s="587">
        <f t="shared" si="135"/>
        <v>0</v>
      </c>
      <c r="O1659" s="587">
        <f t="shared" si="135"/>
        <v>0</v>
      </c>
      <c r="P1659" s="587">
        <f t="shared" si="134"/>
        <v>0</v>
      </c>
    </row>
    <row r="1660" spans="2:16">
      <c r="B1660" s="587" t="s">
        <v>868</v>
      </c>
      <c r="C1660" s="587" t="s">
        <v>869</v>
      </c>
      <c r="D1660" s="587" t="s">
        <v>879</v>
      </c>
      <c r="E1660" s="587"/>
      <c r="F1660" s="587" t="str">
        <f t="shared" si="136"/>
        <v>Voiture (seul(e))</v>
      </c>
      <c r="G1660" s="587">
        <f t="shared" si="137"/>
        <v>3</v>
      </c>
      <c r="H1660" s="587"/>
      <c r="I1660" s="587">
        <v>15</v>
      </c>
      <c r="J1660" s="587">
        <f t="shared" si="138"/>
        <v>2.7600000000000002</v>
      </c>
      <c r="K1660" s="587"/>
      <c r="L1660" s="587"/>
      <c r="M1660" s="587">
        <f t="shared" si="135"/>
        <v>3</v>
      </c>
      <c r="N1660" s="587">
        <f t="shared" si="135"/>
        <v>0</v>
      </c>
      <c r="O1660" s="587">
        <f t="shared" si="135"/>
        <v>0</v>
      </c>
      <c r="P1660" s="587">
        <f t="shared" si="134"/>
        <v>0</v>
      </c>
    </row>
    <row r="1661" spans="2:16">
      <c r="B1661" s="587" t="s">
        <v>868</v>
      </c>
      <c r="C1661" s="587" t="s">
        <v>869</v>
      </c>
      <c r="D1661" s="587" t="s">
        <v>871</v>
      </c>
      <c r="E1661" s="587"/>
      <c r="F1661" s="587" t="str">
        <f t="shared" si="136"/>
        <v>Marche à pied (exclusivement sur tout le trajet)</v>
      </c>
      <c r="G1661" s="587">
        <f t="shared" si="137"/>
        <v>7</v>
      </c>
      <c r="H1661" s="587"/>
      <c r="I1661" s="587">
        <v>9</v>
      </c>
      <c r="J1661" s="587">
        <f t="shared" si="138"/>
        <v>0</v>
      </c>
      <c r="K1661" s="587"/>
      <c r="L1661" s="587"/>
      <c r="M1661" s="587">
        <f t="shared" si="135"/>
        <v>7</v>
      </c>
      <c r="N1661" s="587">
        <f t="shared" si="135"/>
        <v>0</v>
      </c>
      <c r="O1661" s="587">
        <f t="shared" si="135"/>
        <v>0</v>
      </c>
      <c r="P1661" s="587">
        <f t="shared" si="134"/>
        <v>0</v>
      </c>
    </row>
    <row r="1662" spans="2:16">
      <c r="B1662" s="587" t="s">
        <v>868</v>
      </c>
      <c r="C1662" s="587" t="s">
        <v>869</v>
      </c>
      <c r="D1662" s="587" t="s">
        <v>876</v>
      </c>
      <c r="E1662" s="587"/>
      <c r="F1662" s="587" t="str">
        <f t="shared" si="136"/>
        <v>Trottinette, roller, skateboard,...</v>
      </c>
      <c r="G1662" s="587">
        <f t="shared" si="137"/>
        <v>7</v>
      </c>
      <c r="H1662" s="587"/>
      <c r="I1662" s="587"/>
      <c r="J1662" s="587">
        <f t="shared" si="138"/>
        <v>0</v>
      </c>
      <c r="K1662" s="587"/>
      <c r="L1662" s="587"/>
      <c r="M1662" s="587">
        <f t="shared" si="135"/>
        <v>7</v>
      </c>
      <c r="N1662" s="587">
        <f t="shared" si="135"/>
        <v>0</v>
      </c>
      <c r="O1662" s="587">
        <f t="shared" si="135"/>
        <v>0</v>
      </c>
      <c r="P1662" s="587">
        <f t="shared" si="134"/>
        <v>0</v>
      </c>
    </row>
    <row r="1663" spans="2:16">
      <c r="M1663" s="281">
        <f t="shared" si="135"/>
        <v>0</v>
      </c>
      <c r="N1663" s="281">
        <f t="shared" si="135"/>
        <v>0</v>
      </c>
      <c r="O1663" s="281">
        <f t="shared" si="135"/>
        <v>0</v>
      </c>
      <c r="P1663" s="281">
        <f t="shared" si="134"/>
        <v>0</v>
      </c>
    </row>
  </sheetData>
  <autoFilter ref="B27:I1662" xr:uid="{00000000-0009-0000-0000-000000000000}"/>
  <mergeCells count="16">
    <mergeCell ref="F16:H16"/>
    <mergeCell ref="I16:J16"/>
    <mergeCell ref="K16:N16"/>
    <mergeCell ref="J4:M4"/>
    <mergeCell ref="B3:M3"/>
    <mergeCell ref="B15:Q15"/>
    <mergeCell ref="B4:I4"/>
    <mergeCell ref="B16:D16"/>
    <mergeCell ref="F5:I5"/>
    <mergeCell ref="F6:I6"/>
    <mergeCell ref="F7:I7"/>
    <mergeCell ref="F8:I8"/>
    <mergeCell ref="F9:I9"/>
    <mergeCell ref="F10:I10"/>
    <mergeCell ref="F11:I11"/>
    <mergeCell ref="F12:I12"/>
  </mergeCells>
  <pageMargins left="0.5" right="0.5" top="1" bottom="1" header="0.5" footer="0.5"/>
  <pageSetup paperSize="9" orientation="portrait" useFirstPageNumber="1" horizontalDpi="4294967293" verticalDpi="0" r:id="rId1"/>
  <headerFooter>
    <oddHeader>&amp;C&amp;"Times New Roman,Regular"&amp;12&amp;A</oddHeader>
    <oddFooter>&amp;C&amp;"Times New Roman,Regular"&amp;12Page &amp;P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2FF7B-358B-4E3F-BFF1-249FDD7EB160}">
  <dimension ref="A1:R32"/>
  <sheetViews>
    <sheetView showGridLines="0" workbookViewId="0">
      <selection activeCell="I19" sqref="I19"/>
    </sheetView>
  </sheetViews>
  <sheetFormatPr baseColWidth="10" defaultColWidth="10.77734375" defaultRowHeight="14.4"/>
  <cols>
    <col min="5" max="5" width="45.77734375" customWidth="1"/>
  </cols>
  <sheetData>
    <row r="1" spans="1:18">
      <c r="B1" s="759" t="s">
        <v>796</v>
      </c>
      <c r="C1" s="759"/>
    </row>
    <row r="2" spans="1:18">
      <c r="B2" s="163">
        <v>2008</v>
      </c>
      <c r="C2" s="163">
        <v>5350</v>
      </c>
      <c r="E2" s="584"/>
      <c r="F2" s="583">
        <v>2008</v>
      </c>
      <c r="G2" s="583">
        <v>2009</v>
      </c>
      <c r="H2" s="583">
        <v>2010</v>
      </c>
      <c r="I2" s="583">
        <v>2011</v>
      </c>
      <c r="J2" s="583">
        <v>2012</v>
      </c>
      <c r="K2" s="583">
        <v>2013</v>
      </c>
      <c r="L2" s="583">
        <v>2014</v>
      </c>
      <c r="M2" s="583">
        <v>2015</v>
      </c>
      <c r="N2" s="583">
        <v>2016</v>
      </c>
      <c r="O2" s="583">
        <v>2017</v>
      </c>
      <c r="P2" s="583">
        <v>2018</v>
      </c>
      <c r="Q2" s="583">
        <v>2019</v>
      </c>
      <c r="R2" s="583">
        <v>2020</v>
      </c>
    </row>
    <row r="3" spans="1:18">
      <c r="B3" s="583">
        <v>2009</v>
      </c>
      <c r="C3" s="163">
        <v>5482</v>
      </c>
      <c r="E3" s="584" t="s">
        <v>904</v>
      </c>
      <c r="F3" s="513">
        <v>5350</v>
      </c>
      <c r="G3" s="513">
        <v>5482</v>
      </c>
      <c r="H3" s="513">
        <v>5547</v>
      </c>
      <c r="I3" s="513">
        <v>5595</v>
      </c>
      <c r="J3" s="513">
        <v>5701</v>
      </c>
      <c r="K3" s="513">
        <v>5679</v>
      </c>
      <c r="L3" s="513">
        <v>5760</v>
      </c>
      <c r="M3" s="513">
        <v>5794</v>
      </c>
      <c r="N3" s="513">
        <v>5937</v>
      </c>
      <c r="O3" s="513">
        <v>6036</v>
      </c>
      <c r="P3" s="513">
        <v>6122</v>
      </c>
      <c r="Q3" s="513">
        <v>6133</v>
      </c>
      <c r="R3" s="513">
        <v>6133</v>
      </c>
    </row>
    <row r="4" spans="1:18">
      <c r="B4" s="583">
        <v>2010</v>
      </c>
      <c r="C4" s="163">
        <v>5547</v>
      </c>
      <c r="E4" s="584" t="s">
        <v>901</v>
      </c>
      <c r="F4" s="513"/>
      <c r="G4" s="513">
        <v>633</v>
      </c>
      <c r="H4" s="513">
        <v>626</v>
      </c>
      <c r="I4" s="513">
        <v>627</v>
      </c>
      <c r="J4" s="513">
        <v>595</v>
      </c>
      <c r="K4" s="513">
        <v>770</v>
      </c>
      <c r="L4" s="513">
        <v>760</v>
      </c>
      <c r="M4" s="513">
        <v>728</v>
      </c>
      <c r="N4" s="513">
        <v>718</v>
      </c>
      <c r="O4" s="513">
        <v>721</v>
      </c>
      <c r="P4" s="513">
        <v>742</v>
      </c>
      <c r="Q4" s="513" t="s">
        <v>903</v>
      </c>
      <c r="R4" s="513"/>
    </row>
    <row r="5" spans="1:18">
      <c r="B5" s="583">
        <v>2011</v>
      </c>
      <c r="C5" s="163">
        <v>5595</v>
      </c>
      <c r="E5" s="584" t="s">
        <v>902</v>
      </c>
      <c r="F5" s="513"/>
      <c r="G5" s="513">
        <v>657</v>
      </c>
      <c r="H5" s="513">
        <v>684</v>
      </c>
      <c r="I5" s="513">
        <v>659</v>
      </c>
      <c r="J5" s="513">
        <v>827</v>
      </c>
      <c r="K5" s="513">
        <v>630</v>
      </c>
      <c r="L5" s="513">
        <v>655</v>
      </c>
      <c r="M5" s="513">
        <v>658</v>
      </c>
      <c r="N5" s="513">
        <v>677</v>
      </c>
      <c r="O5" s="513">
        <v>688</v>
      </c>
      <c r="P5" s="513">
        <v>677</v>
      </c>
      <c r="Q5" s="513" t="s">
        <v>903</v>
      </c>
      <c r="R5" s="513"/>
    </row>
    <row r="6" spans="1:18">
      <c r="B6" s="583">
        <v>2012</v>
      </c>
      <c r="C6" s="163">
        <v>5701</v>
      </c>
      <c r="E6" s="584" t="s">
        <v>907</v>
      </c>
      <c r="F6" s="513"/>
      <c r="G6" s="513">
        <f>SUM(G4:G5)</f>
        <v>1290</v>
      </c>
      <c r="H6" s="513">
        <f t="shared" ref="H6:Q6" si="0">SUM(H4:H5)</f>
        <v>1310</v>
      </c>
      <c r="I6" s="513">
        <f t="shared" si="0"/>
        <v>1286</v>
      </c>
      <c r="J6" s="513">
        <f t="shared" si="0"/>
        <v>1422</v>
      </c>
      <c r="K6" s="513">
        <f t="shared" si="0"/>
        <v>1400</v>
      </c>
      <c r="L6" s="513">
        <f t="shared" si="0"/>
        <v>1415</v>
      </c>
      <c r="M6" s="513">
        <f t="shared" si="0"/>
        <v>1386</v>
      </c>
      <c r="N6" s="513">
        <f t="shared" si="0"/>
        <v>1395</v>
      </c>
      <c r="O6" s="513">
        <f t="shared" si="0"/>
        <v>1409</v>
      </c>
      <c r="P6" s="513">
        <f t="shared" si="0"/>
        <v>1419</v>
      </c>
      <c r="Q6" s="513">
        <f t="shared" si="0"/>
        <v>0</v>
      </c>
      <c r="R6" s="513"/>
    </row>
    <row r="7" spans="1:18">
      <c r="B7" s="583">
        <v>2013</v>
      </c>
      <c r="C7" s="163">
        <v>5679</v>
      </c>
    </row>
    <row r="8" spans="1:18">
      <c r="B8" s="583">
        <v>2014</v>
      </c>
      <c r="C8" s="163">
        <v>5760</v>
      </c>
    </row>
    <row r="9" spans="1:18">
      <c r="B9" s="583">
        <v>2015</v>
      </c>
      <c r="C9" s="163">
        <v>5794</v>
      </c>
    </row>
    <row r="10" spans="1:18">
      <c r="B10" s="583">
        <v>2016</v>
      </c>
      <c r="C10" s="163">
        <v>5937</v>
      </c>
    </row>
    <row r="11" spans="1:18">
      <c r="B11" s="583">
        <v>2017</v>
      </c>
      <c r="C11" s="163">
        <v>6036</v>
      </c>
    </row>
    <row r="12" spans="1:18">
      <c r="B12" s="583">
        <v>2018</v>
      </c>
      <c r="C12" s="163">
        <v>6122</v>
      </c>
    </row>
    <row r="13" spans="1:18">
      <c r="B13" s="583">
        <v>2019</v>
      </c>
      <c r="C13" s="163">
        <v>6133</v>
      </c>
    </row>
    <row r="14" spans="1:18">
      <c r="B14" s="583">
        <v>2020</v>
      </c>
      <c r="C14" s="163">
        <v>6133</v>
      </c>
    </row>
    <row r="16" spans="1:18">
      <c r="A16" s="107" t="s">
        <v>793</v>
      </c>
      <c r="B16" s="106"/>
      <c r="E16" t="s">
        <v>934</v>
      </c>
    </row>
    <row r="17" spans="1:10">
      <c r="A17" s="107" t="s">
        <v>794</v>
      </c>
      <c r="B17" s="106"/>
    </row>
    <row r="18" spans="1:10">
      <c r="A18" s="107" t="s">
        <v>795</v>
      </c>
      <c r="B18" s="106"/>
    </row>
    <row r="19" spans="1:10">
      <c r="A19" s="106"/>
      <c r="B19" s="106"/>
    </row>
    <row r="21" spans="1:10">
      <c r="G21" s="321"/>
      <c r="H21" s="321"/>
      <c r="I21" s="321"/>
      <c r="J21" s="321"/>
    </row>
    <row r="22" spans="1:10">
      <c r="G22" s="321"/>
      <c r="H22" s="321"/>
      <c r="I22" s="321"/>
      <c r="J22" s="321"/>
    </row>
    <row r="23" spans="1:10">
      <c r="G23" s="321"/>
      <c r="H23" s="321"/>
      <c r="I23" s="321"/>
      <c r="J23" s="321"/>
    </row>
    <row r="24" spans="1:10">
      <c r="G24" s="321"/>
      <c r="H24" s="321"/>
      <c r="I24" s="321"/>
      <c r="J24" s="321"/>
    </row>
    <row r="25" spans="1:10">
      <c r="G25" s="321"/>
      <c r="H25" s="321"/>
      <c r="I25" s="321"/>
      <c r="J25" s="321"/>
    </row>
    <row r="26" spans="1:10">
      <c r="G26" s="321"/>
      <c r="H26" s="321"/>
      <c r="I26" s="321"/>
      <c r="J26" s="321"/>
    </row>
    <row r="27" spans="1:10">
      <c r="G27" s="321"/>
      <c r="H27" s="321"/>
      <c r="I27" s="321"/>
      <c r="J27" s="321"/>
    </row>
    <row r="28" spans="1:10">
      <c r="G28" s="321"/>
      <c r="H28" s="321"/>
      <c r="I28" s="321"/>
      <c r="J28" s="321"/>
    </row>
    <row r="29" spans="1:10">
      <c r="G29" s="321"/>
      <c r="H29" s="321"/>
      <c r="I29" s="321"/>
      <c r="J29" s="321"/>
    </row>
    <row r="30" spans="1:10">
      <c r="G30" s="321"/>
      <c r="H30" s="321"/>
      <c r="I30" s="321"/>
      <c r="J30" s="321"/>
    </row>
    <row r="31" spans="1:10">
      <c r="G31" s="321"/>
      <c r="H31" s="321"/>
      <c r="I31" s="321"/>
      <c r="J31" s="321"/>
    </row>
    <row r="32" spans="1:10">
      <c r="G32" s="321"/>
      <c r="H32" s="321"/>
      <c r="I32" s="321"/>
      <c r="J32" s="321"/>
    </row>
  </sheetData>
  <mergeCells count="1">
    <mergeCell ref="B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5</vt:i4>
      </vt:variant>
    </vt:vector>
  </HeadingPairs>
  <TitlesOfParts>
    <vt:vector size="19" baseType="lpstr">
      <vt:lpstr>Resultats &amp; Analyse</vt:lpstr>
      <vt:lpstr>Données Energie</vt:lpstr>
      <vt:lpstr>Bilan Energie</vt:lpstr>
      <vt:lpstr>Bilan E</vt:lpstr>
      <vt:lpstr>Données Alimentaire</vt:lpstr>
      <vt:lpstr>Bilan Alimentaire</vt:lpstr>
      <vt:lpstr>Données Déchets</vt:lpstr>
      <vt:lpstr>Données Immobilisation</vt:lpstr>
      <vt:lpstr>Données Flotte Véhicule</vt:lpstr>
      <vt:lpstr>Données Batiments</vt:lpstr>
      <vt:lpstr>Données Aériens Personnel</vt:lpstr>
      <vt:lpstr>Déplacements Académiques</vt:lpstr>
      <vt:lpstr>Données domicile-travail</vt:lpstr>
      <vt:lpstr>Effectif INSA</vt:lpstr>
      <vt:lpstr>_BDD_déplacements_aériens</vt:lpstr>
      <vt:lpstr>'Données Alimentaire'!_FilterDatabase</vt:lpstr>
      <vt:lpstr>Liste2</vt:lpstr>
      <vt:lpstr>Liste3</vt:lpstr>
      <vt:lpstr>'Données Batiments'!Zone_d_impression</vt:lpstr>
    </vt:vector>
  </TitlesOfParts>
  <Company>INSA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 Bouayad</dc:creator>
  <cp:lastModifiedBy>Thibault GABRIEL</cp:lastModifiedBy>
  <dcterms:created xsi:type="dcterms:W3CDTF">2020-06-09T20:45:42Z</dcterms:created>
  <dcterms:modified xsi:type="dcterms:W3CDTF">2021-07-30T11:31:48Z</dcterms:modified>
</cp:coreProperties>
</file>